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SPALDO CORIMON\ASAMBLEAS CRM\2018\asamblea emision de acciones\"/>
    </mc:Choice>
  </mc:AlternateContent>
  <bookViews>
    <workbookView xWindow="648" yWindow="-36" windowWidth="9660" windowHeight="11292" tabRatio="749"/>
  </bookViews>
  <sheets>
    <sheet name="ESF" sheetId="6" r:id="rId1"/>
    <sheet name="ResultadoIntegral" sheetId="12" r:id="rId2"/>
    <sheet name="PT FE" sheetId="15" state="hidden" r:id="rId3"/>
  </sheets>
  <externalReferences>
    <externalReference r:id="rId4"/>
  </externalReferences>
  <definedNames>
    <definedName name="_xlnm.Print_Area" localSheetId="0">ESF!$A$1:$M$53</definedName>
    <definedName name="_xlnm.Print_Area" localSheetId="1">ResultadoIntegral!$A$1:$M$42</definedName>
    <definedName name="area1">#REF!</definedName>
    <definedName name="area2">#REF!</definedName>
    <definedName name="area3">#REF!</definedName>
    <definedName name="area4">#REF!</definedName>
    <definedName name="area5">#REF!</definedName>
    <definedName name="area6">#REF!</definedName>
    <definedName name="cor">#REF!</definedName>
    <definedName name="resumen">#REF!</definedName>
    <definedName name="todo">#REF!</definedName>
  </definedNames>
  <calcPr calcId="162913"/>
</workbook>
</file>

<file path=xl/calcChain.xml><?xml version="1.0" encoding="utf-8"?>
<calcChain xmlns="http://schemas.openxmlformats.org/spreadsheetml/2006/main">
  <c r="H54" i="15" l="1"/>
  <c r="O54" i="15" s="1"/>
  <c r="G57" i="15"/>
  <c r="M54" i="15" l="1"/>
  <c r="G42" i="15"/>
  <c r="M137" i="15" l="1"/>
  <c r="M139" i="15" s="1"/>
  <c r="F134" i="15"/>
  <c r="M130" i="15"/>
  <c r="F130" i="15"/>
  <c r="F137" i="15" s="1"/>
  <c r="F127" i="15"/>
  <c r="F133" i="15" s="1"/>
  <c r="B122" i="15"/>
  <c r="M124" i="15"/>
  <c r="M116" i="15"/>
  <c r="M118" i="15" s="1"/>
  <c r="D122" i="15"/>
  <c r="D111" i="15"/>
  <c r="D112" i="15" s="1"/>
  <c r="B111" i="15"/>
  <c r="D107" i="15"/>
  <c r="M109" i="15"/>
  <c r="D102" i="15"/>
  <c r="B102" i="15"/>
  <c r="A102" i="15"/>
  <c r="A111" i="15" s="1"/>
  <c r="A122" i="15" s="1"/>
  <c r="M101" i="15"/>
  <c r="F101" i="15"/>
  <c r="F109" i="15" s="1"/>
  <c r="F116" i="15" s="1"/>
  <c r="A97" i="15"/>
  <c r="A107" i="15" s="1"/>
  <c r="A116" i="15" s="1"/>
  <c r="F96" i="15"/>
  <c r="F105" i="15" s="1"/>
  <c r="F112" i="15" s="1"/>
  <c r="B92" i="15"/>
  <c r="F91" i="15"/>
  <c r="N88" i="15"/>
  <c r="N87" i="15"/>
  <c r="D92" i="15"/>
  <c r="D93" i="15" s="1"/>
  <c r="F83" i="15"/>
  <c r="O72" i="15"/>
  <c r="G72" i="15"/>
  <c r="N70" i="15"/>
  <c r="N69" i="15"/>
  <c r="M68" i="15"/>
  <c r="H68" i="15"/>
  <c r="O68" i="15" s="1"/>
  <c r="H67" i="15"/>
  <c r="O67" i="15" s="1"/>
  <c r="P67" i="15" s="1"/>
  <c r="H66" i="15"/>
  <c r="O66" i="15" s="1"/>
  <c r="H65" i="15"/>
  <c r="O65" i="15" s="1"/>
  <c r="H64" i="15"/>
  <c r="O64" i="15" s="1"/>
  <c r="H63" i="15"/>
  <c r="O63" i="15" s="1"/>
  <c r="H62" i="15"/>
  <c r="O62" i="15" s="1"/>
  <c r="H61" i="15"/>
  <c r="O61" i="15" s="1"/>
  <c r="H60" i="15"/>
  <c r="O60" i="15" s="1"/>
  <c r="O59" i="15"/>
  <c r="L59" i="15"/>
  <c r="J59" i="15"/>
  <c r="M59" i="15" s="1"/>
  <c r="N59" i="15" s="1"/>
  <c r="H59" i="15"/>
  <c r="I59" i="15" s="1"/>
  <c r="N58" i="15"/>
  <c r="G58" i="15"/>
  <c r="H58" i="15" s="1"/>
  <c r="N57" i="15"/>
  <c r="H57" i="15"/>
  <c r="O57" i="15" s="1"/>
  <c r="Q56" i="15"/>
  <c r="M56" i="15"/>
  <c r="H56" i="15"/>
  <c r="O56" i="15" s="1"/>
  <c r="H55" i="15"/>
  <c r="I55" i="15" s="1"/>
  <c r="J55" i="15" s="1"/>
  <c r="H53" i="15"/>
  <c r="O53" i="15" s="1"/>
  <c r="H52" i="15"/>
  <c r="H51" i="15"/>
  <c r="O51" i="15" s="1"/>
  <c r="H50" i="15"/>
  <c r="M50" i="15" s="1"/>
  <c r="H49" i="15"/>
  <c r="M49" i="15" s="1"/>
  <c r="H48" i="15"/>
  <c r="H47" i="15"/>
  <c r="O47" i="15" s="1"/>
  <c r="H46" i="15"/>
  <c r="M46" i="15" s="1"/>
  <c r="O45" i="15"/>
  <c r="H45" i="15"/>
  <c r="M45" i="15" s="1"/>
  <c r="H44" i="15"/>
  <c r="I43" i="15"/>
  <c r="J43" i="15" s="1"/>
  <c r="H43" i="15"/>
  <c r="O43" i="15" s="1"/>
  <c r="F42" i="15"/>
  <c r="H42" i="15" s="1"/>
  <c r="O41" i="15"/>
  <c r="H41" i="15"/>
  <c r="K41" i="15" s="1"/>
  <c r="K40" i="15"/>
  <c r="H40" i="15"/>
  <c r="O40" i="15" s="1"/>
  <c r="O39" i="15"/>
  <c r="H39" i="15"/>
  <c r="I39" i="15" s="1"/>
  <c r="J39" i="15" s="1"/>
  <c r="G38" i="15"/>
  <c r="H38" i="15" s="1"/>
  <c r="O37" i="15"/>
  <c r="O36" i="15"/>
  <c r="G35" i="15"/>
  <c r="F35" i="15"/>
  <c r="E35" i="15"/>
  <c r="D35" i="15"/>
  <c r="N34" i="15"/>
  <c r="E34" i="15"/>
  <c r="D34" i="15" s="1"/>
  <c r="H34" i="15" s="1"/>
  <c r="M34" i="15" s="1"/>
  <c r="E33" i="15"/>
  <c r="D33" i="15" s="1"/>
  <c r="H33" i="15" s="1"/>
  <c r="M32" i="15"/>
  <c r="F32" i="15"/>
  <c r="E32" i="15"/>
  <c r="D32" i="15"/>
  <c r="H32" i="15" s="1"/>
  <c r="O32" i="15" s="1"/>
  <c r="E31" i="15"/>
  <c r="D31" i="15" s="1"/>
  <c r="H31" i="15" s="1"/>
  <c r="C31" i="15"/>
  <c r="B31" i="15"/>
  <c r="E30" i="15"/>
  <c r="D30" i="15"/>
  <c r="H30" i="15" s="1"/>
  <c r="M30" i="15" s="1"/>
  <c r="E29" i="15"/>
  <c r="F29" i="15" s="1"/>
  <c r="D29" i="15"/>
  <c r="N28" i="15"/>
  <c r="E28" i="15"/>
  <c r="D28" i="15" s="1"/>
  <c r="H28" i="15" s="1"/>
  <c r="M28" i="15" s="1"/>
  <c r="E27" i="15"/>
  <c r="D27" i="15"/>
  <c r="H27" i="15" s="1"/>
  <c r="M27" i="15" s="1"/>
  <c r="F26" i="15"/>
  <c r="B26" i="15"/>
  <c r="G25" i="15"/>
  <c r="F25" i="15"/>
  <c r="C25" i="15"/>
  <c r="C36" i="15" s="1"/>
  <c r="B25" i="15"/>
  <c r="B36" i="15" s="1"/>
  <c r="B37" i="15" s="1"/>
  <c r="O24" i="15"/>
  <c r="O23" i="15"/>
  <c r="O22" i="15"/>
  <c r="O21" i="15"/>
  <c r="C21" i="15"/>
  <c r="B21" i="15"/>
  <c r="D20" i="15"/>
  <c r="E20" i="15" s="1"/>
  <c r="H20" i="15" s="1"/>
  <c r="D19" i="15"/>
  <c r="D18" i="15"/>
  <c r="G17" i="15"/>
  <c r="D17" i="15"/>
  <c r="E17" i="15" s="1"/>
  <c r="G16" i="15"/>
  <c r="F16" i="15"/>
  <c r="D16" i="15"/>
  <c r="D15" i="15"/>
  <c r="D14" i="15"/>
  <c r="D13" i="15"/>
  <c r="D12" i="15"/>
  <c r="D11" i="15"/>
  <c r="D10" i="15"/>
  <c r="E10" i="15" s="1"/>
  <c r="B6" i="15"/>
  <c r="H19" i="15" l="1"/>
  <c r="F69" i="15"/>
  <c r="H35" i="15"/>
  <c r="O35" i="15" s="1"/>
  <c r="K55" i="15"/>
  <c r="L61" i="15"/>
  <c r="L63" i="15"/>
  <c r="E14" i="15"/>
  <c r="H14" i="15" s="1"/>
  <c r="E19" i="15"/>
  <c r="M92" i="15"/>
  <c r="O27" i="15"/>
  <c r="H29" i="15"/>
  <c r="I29" i="15" s="1"/>
  <c r="J29" i="15" s="1"/>
  <c r="O46" i="15"/>
  <c r="M53" i="15"/>
  <c r="M61" i="15"/>
  <c r="M62" i="15"/>
  <c r="M63" i="15"/>
  <c r="M64" i="15"/>
  <c r="M65" i="15"/>
  <c r="M66" i="15"/>
  <c r="I68" i="15"/>
  <c r="J68" i="15" s="1"/>
  <c r="E15" i="15"/>
  <c r="G15" i="15"/>
  <c r="H15" i="15"/>
  <c r="M15" i="15" s="1"/>
  <c r="L62" i="15"/>
  <c r="L64" i="15"/>
  <c r="L65" i="15"/>
  <c r="L66" i="15"/>
  <c r="N97" i="15"/>
  <c r="H17" i="15"/>
  <c r="M17" i="15" s="1"/>
  <c r="E25" i="15"/>
  <c r="D25" i="15" s="1"/>
  <c r="I40" i="15"/>
  <c r="J40" i="15" s="1"/>
  <c r="I56" i="15"/>
  <c r="J56" i="15" s="1"/>
  <c r="L57" i="15"/>
  <c r="M60" i="15"/>
  <c r="N60" i="15" s="1"/>
  <c r="L67" i="15"/>
  <c r="M67" i="15"/>
  <c r="H25" i="15"/>
  <c r="I25" i="15" s="1"/>
  <c r="J25" i="15" s="1"/>
  <c r="O50" i="15"/>
  <c r="G69" i="15"/>
  <c r="G70" i="15" s="1"/>
  <c r="O49" i="15"/>
  <c r="M25" i="15"/>
  <c r="M33" i="15"/>
  <c r="O33" i="15"/>
  <c r="O20" i="15"/>
  <c r="M20" i="15"/>
  <c r="L58" i="15"/>
  <c r="I58" i="15"/>
  <c r="J58" i="15" s="1"/>
  <c r="O58" i="15"/>
  <c r="K19" i="15"/>
  <c r="I19" i="15"/>
  <c r="J19" i="15" s="1"/>
  <c r="O19" i="15"/>
  <c r="O38" i="15"/>
  <c r="I38" i="15"/>
  <c r="J38" i="15" s="1"/>
  <c r="M38" i="15" s="1"/>
  <c r="N38" i="15" s="1"/>
  <c r="O52" i="15"/>
  <c r="M52" i="15"/>
  <c r="I15" i="15"/>
  <c r="J15" i="15" s="1"/>
  <c r="I17" i="15"/>
  <c r="J17" i="15" s="1"/>
  <c r="I35" i="15"/>
  <c r="O44" i="15"/>
  <c r="M44" i="15"/>
  <c r="E11" i="15"/>
  <c r="O15" i="15"/>
  <c r="P15" i="15" s="1"/>
  <c r="M91" i="15"/>
  <c r="M93" i="15" s="1"/>
  <c r="O28" i="15"/>
  <c r="O42" i="15"/>
  <c r="P42" i="15" s="1"/>
  <c r="P69" i="15" s="1"/>
  <c r="K42" i="15"/>
  <c r="O31" i="15"/>
  <c r="M31" i="15"/>
  <c r="H10" i="15"/>
  <c r="E12" i="15"/>
  <c r="H12" i="15" s="1"/>
  <c r="E13" i="15"/>
  <c r="H13" i="15" s="1"/>
  <c r="M19" i="15"/>
  <c r="C37" i="15"/>
  <c r="I28" i="15"/>
  <c r="J28" i="15" s="1"/>
  <c r="O30" i="15"/>
  <c r="O34" i="15"/>
  <c r="O48" i="15"/>
  <c r="M48" i="15"/>
  <c r="M102" i="15"/>
  <c r="E16" i="15"/>
  <c r="H16" i="15" s="1"/>
  <c r="E18" i="15"/>
  <c r="H18" i="15" s="1"/>
  <c r="M43" i="15"/>
  <c r="M47" i="15"/>
  <c r="M51" i="15"/>
  <c r="O55" i="15"/>
  <c r="I57" i="15"/>
  <c r="J57" i="15" s="1"/>
  <c r="I60" i="15"/>
  <c r="J60" i="15" s="1"/>
  <c r="E26" i="15"/>
  <c r="D26" i="15" s="1"/>
  <c r="H26" i="15" s="1"/>
  <c r="I14" i="15" l="1"/>
  <c r="J14" i="15" s="1"/>
  <c r="M14" i="15"/>
  <c r="O14" i="15"/>
  <c r="E36" i="15"/>
  <c r="O25" i="15"/>
  <c r="M29" i="15"/>
  <c r="O17" i="15"/>
  <c r="O29" i="15"/>
  <c r="L69" i="15"/>
  <c r="I13" i="15"/>
  <c r="J13" i="15" s="1"/>
  <c r="O13" i="15"/>
  <c r="M13" i="15"/>
  <c r="O12" i="15"/>
  <c r="M12" i="15"/>
  <c r="I12" i="15"/>
  <c r="J12" i="15" s="1"/>
  <c r="J35" i="15"/>
  <c r="M35" i="15"/>
  <c r="N35" i="15" s="1"/>
  <c r="N19" i="15"/>
  <c r="K69" i="15"/>
  <c r="H11" i="15"/>
  <c r="O11" i="15" s="1"/>
  <c r="O18" i="15"/>
  <c r="M18" i="15"/>
  <c r="I16" i="15"/>
  <c r="J16" i="15" s="1"/>
  <c r="O16" i="15"/>
  <c r="O26" i="15"/>
  <c r="M26" i="15"/>
  <c r="I10" i="15"/>
  <c r="O10" i="15"/>
  <c r="D36" i="15"/>
  <c r="M69" i="15" l="1"/>
  <c r="I69" i="15"/>
  <c r="J10" i="15"/>
  <c r="J69" i="15" s="1"/>
  <c r="O69" i="15"/>
  <c r="O74" i="15" s="1"/>
  <c r="O76" i="15" s="1"/>
  <c r="H69" i="15"/>
  <c r="J70" i="15" l="1"/>
  <c r="K18" i="12" l="1"/>
  <c r="K22" i="12"/>
  <c r="K23" i="12" s="1"/>
  <c r="K9" i="12" l="1"/>
  <c r="M11" i="12"/>
  <c r="O24" i="6" l="1"/>
  <c r="K32" i="12" l="1"/>
  <c r="K40" i="12" l="1"/>
  <c r="O45" i="6" l="1"/>
  <c r="O33" i="6" l="1"/>
  <c r="O35" i="6" l="1"/>
  <c r="O34" i="6"/>
  <c r="O36" i="6"/>
  <c r="O27" i="6"/>
  <c r="O32" i="6" l="1"/>
  <c r="O15" i="6" l="1"/>
  <c r="O26" i="6"/>
  <c r="M31" i="12"/>
  <c r="M30" i="12"/>
  <c r="M34" i="12" s="1"/>
  <c r="M32" i="12"/>
  <c r="M37" i="12"/>
  <c r="O17" i="6" l="1"/>
  <c r="O9" i="6"/>
  <c r="O8" i="6"/>
  <c r="K30" i="12"/>
  <c r="K34" i="12" s="1"/>
  <c r="K37" i="12"/>
  <c r="K31" i="12"/>
  <c r="M38" i="12"/>
  <c r="M23" i="12"/>
  <c r="M18" i="12"/>
  <c r="M8" i="12"/>
  <c r="M13" i="12" s="1"/>
  <c r="O29" i="6"/>
  <c r="M19" i="6"/>
  <c r="O11" i="6"/>
  <c r="O25" i="6" l="1"/>
  <c r="O28" i="6"/>
  <c r="M12" i="6"/>
  <c r="M20" i="6" s="1"/>
  <c r="O16" i="6"/>
  <c r="O18" i="6"/>
  <c r="O14" i="6"/>
  <c r="M30" i="6"/>
  <c r="O23" i="6"/>
  <c r="M38" i="6"/>
  <c r="O37" i="6"/>
  <c r="M19" i="12"/>
  <c r="M24" i="12" s="1"/>
  <c r="M26" i="12" s="1"/>
  <c r="M39" i="12" l="1"/>
  <c r="M41" i="12" s="1"/>
  <c r="O10" i="6"/>
  <c r="M39" i="6"/>
  <c r="K38" i="12" l="1"/>
  <c r="K8" i="12" l="1"/>
  <c r="K13" i="12" s="1"/>
  <c r="K19" i="12" s="1"/>
  <c r="K24" i="12" s="1"/>
  <c r="K39" i="12" s="1"/>
  <c r="K41" i="12" s="1"/>
  <c r="K30" i="6"/>
  <c r="K19" i="6" l="1"/>
  <c r="K38" i="6" l="1"/>
  <c r="K39" i="6" s="1"/>
  <c r="K12" i="6" l="1"/>
  <c r="K20" i="6" s="1"/>
  <c r="K26" i="12" l="1"/>
  <c r="A42" i="12" l="1"/>
  <c r="A1" i="12" l="1"/>
  <c r="K46" i="6" l="1"/>
  <c r="M46" i="6"/>
  <c r="O46" i="6" l="1"/>
  <c r="K43" i="6"/>
  <c r="M43" i="6"/>
  <c r="K41" i="6"/>
  <c r="M41" i="6"/>
  <c r="K42" i="6"/>
  <c r="M42" i="6"/>
  <c r="O41" i="6" l="1"/>
  <c r="O43" i="6"/>
  <c r="O42" i="6"/>
  <c r="M47" i="6"/>
  <c r="M48" i="6" s="1"/>
  <c r="M44" i="6" l="1"/>
  <c r="K47" i="6"/>
  <c r="K44" i="6" l="1"/>
  <c r="O44" i="6" s="1"/>
  <c r="M49" i="6"/>
  <c r="K48" i="6"/>
  <c r="O47" i="6"/>
  <c r="N49" i="6"/>
  <c r="M50" i="6"/>
  <c r="M51" i="6" l="1"/>
  <c r="M52" i="6" s="1"/>
  <c r="M54" i="6" s="1"/>
  <c r="K49" i="6"/>
  <c r="K50" i="6"/>
  <c r="O50" i="6" s="1"/>
  <c r="O54" i="6" s="1"/>
  <c r="K51" i="6" l="1"/>
  <c r="K52" i="6" l="1"/>
  <c r="K54" i="6" s="1"/>
</calcChain>
</file>

<file path=xl/sharedStrings.xml><?xml version="1.0" encoding="utf-8"?>
<sst xmlns="http://schemas.openxmlformats.org/spreadsheetml/2006/main" count="281" uniqueCount="203">
  <si>
    <t>Gastos pagados por anticipado</t>
  </si>
  <si>
    <t>Activos</t>
  </si>
  <si>
    <t>Pasivos y Patrimonio</t>
  </si>
  <si>
    <t>Total pasivos</t>
  </si>
  <si>
    <t>Total pasivos y patrimonio</t>
  </si>
  <si>
    <t>Otros pasivos</t>
  </si>
  <si>
    <t>Total activos</t>
  </si>
  <si>
    <t>Obligaciones quirografarias</t>
  </si>
  <si>
    <t>Activos corrientes:</t>
  </si>
  <si>
    <t>Total activos corrientes</t>
  </si>
  <si>
    <t>Activos no corrientes:</t>
  </si>
  <si>
    <t>Propiedades de inversión</t>
  </si>
  <si>
    <t>Total activos no corrientes</t>
  </si>
  <si>
    <t>Pasivos corrientes:</t>
  </si>
  <si>
    <t>Dividendos por pagar</t>
  </si>
  <si>
    <t>Total pasivos corrientes</t>
  </si>
  <si>
    <t>Provisiones</t>
  </si>
  <si>
    <t>Total pasivos no corrientes</t>
  </si>
  <si>
    <t>Patrimonio:</t>
  </si>
  <si>
    <t>Prima en emisión de acciones</t>
  </si>
  <si>
    <t>Acciones en tesorería</t>
  </si>
  <si>
    <t>Reserva legal</t>
  </si>
  <si>
    <t>Utilidades no distribuidas</t>
  </si>
  <si>
    <t>Total patrimonio atribuible al accionista</t>
  </si>
  <si>
    <t>Total patrimonio</t>
  </si>
  <si>
    <t>CORIMON, C. A. Y SUBSIDIARIAS</t>
  </si>
  <si>
    <t>Participaciones no controladoras</t>
  </si>
  <si>
    <t>Pasivos no corrientes:</t>
  </si>
  <si>
    <t>Utilidades retenidas:</t>
  </si>
  <si>
    <t>Total utilidades retenidas</t>
  </si>
  <si>
    <t>Inventarios</t>
  </si>
  <si>
    <t>Inversiones disponibles para la venta</t>
  </si>
  <si>
    <t xml:space="preserve">Capital social </t>
  </si>
  <si>
    <t>Depósitos en garantía y otros activos</t>
  </si>
  <si>
    <t>Nota</t>
  </si>
  <si>
    <t>Costos de ventas</t>
  </si>
  <si>
    <t>Utilidad en operaciones</t>
  </si>
  <si>
    <t>Corriente</t>
  </si>
  <si>
    <t>Diferido</t>
  </si>
  <si>
    <t>Gastos acumulados por pagar</t>
  </si>
  <si>
    <t>Otras reservas</t>
  </si>
  <si>
    <t>Otros resultados integrales:</t>
  </si>
  <si>
    <t>Total otros resultados integrales</t>
  </si>
  <si>
    <t>Gastos de ventas, administración y generales</t>
  </si>
  <si>
    <t>Ventas netas</t>
  </si>
  <si>
    <t>Utilidad bruta</t>
  </si>
  <si>
    <t>Diferencial cambiario, neto</t>
  </si>
  <si>
    <t>Ingreso (costo) financiero:</t>
  </si>
  <si>
    <t>Gasto de impuesto sobre la renta:</t>
  </si>
  <si>
    <t>Impuesto sobre la renta por pagar</t>
  </si>
  <si>
    <t>Utilidad antes de impuesto sobre la renta</t>
  </si>
  <si>
    <t>Total gasto de impuesto sobre la renta</t>
  </si>
  <si>
    <t>Negocios en el extranjero - diferencias en conversión</t>
  </si>
  <si>
    <t>Cambios en el valor razonable de las mediciones actuariales</t>
  </si>
  <si>
    <t>Impuesto diferido</t>
  </si>
  <si>
    <t>Total costo financiero</t>
  </si>
  <si>
    <t>Utilidad integral antes de participaciones no controladoras</t>
  </si>
  <si>
    <t>Utilidad integral atribuible a participaciones no controladoras</t>
  </si>
  <si>
    <t>Utilidad integral del accionista</t>
  </si>
  <si>
    <t>Beneficios laborales</t>
  </si>
  <si>
    <t xml:space="preserve">Partidas que se reclasifican o pueden reclasificarse posteriormente </t>
  </si>
  <si>
    <t>al resultadodel período -</t>
  </si>
  <si>
    <t>Estado Consolidado de Situación Financiera</t>
  </si>
  <si>
    <t>Partidas que no se reclasificaran posteriormente al resultado del período -</t>
  </si>
  <si>
    <t>Depreciación</t>
  </si>
  <si>
    <t>Cambios en el valor razonable de las propiedades de inversion</t>
  </si>
  <si>
    <t>Otros egresos</t>
  </si>
  <si>
    <t>Otros ingresos</t>
  </si>
  <si>
    <t>Utilidad neta atribuible a los accionistas</t>
  </si>
  <si>
    <t>Utilidad neta antes de participación no controladora</t>
  </si>
  <si>
    <t>Utilidad neta por acción</t>
  </si>
  <si>
    <t>Cambios en el valor razonable de las propiedades, plantas y equipo</t>
  </si>
  <si>
    <t>(Expresados en miles de bolívares)</t>
  </si>
  <si>
    <t>Activos intangibles</t>
  </si>
  <si>
    <t>Ingresos financieros</t>
  </si>
  <si>
    <t>Gastos de intereses</t>
  </si>
  <si>
    <t>Reclasificación a propiedades de inversión</t>
  </si>
  <si>
    <t>30 de abril de 2018, con cifras correspondientes al 30 de abril de 2017</t>
  </si>
  <si>
    <t>Año terminado el 30 de abril de 2018, con cifras correspondientes del año 2017</t>
  </si>
  <si>
    <t>30 de abril de 2018</t>
  </si>
  <si>
    <t>Deudores comerciales y otras cuentas por cobrar</t>
  </si>
  <si>
    <t>Deuda financiera</t>
  </si>
  <si>
    <t>Acreedores comerciales y otras cuentas por pagar</t>
  </si>
  <si>
    <t>21 (a)</t>
  </si>
  <si>
    <t>21 (b)</t>
  </si>
  <si>
    <t>21 (c)</t>
  </si>
  <si>
    <t xml:space="preserve">Las notas de la 1 a la 33 que se acompañan forman parte integral de los estados financieros consolidados. </t>
  </si>
  <si>
    <t>16 y 19</t>
  </si>
  <si>
    <t>Variación Flujo</t>
  </si>
  <si>
    <t>23 (a)</t>
  </si>
  <si>
    <t>23 (d)</t>
  </si>
  <si>
    <t>23(f)</t>
  </si>
  <si>
    <t xml:space="preserve">Cambios en el valor razonable de las inversiones disponibles para la renta </t>
  </si>
  <si>
    <t>Estado Consolidado de Resultados del período y Otros Resultados Integrales</t>
  </si>
  <si>
    <t xml:space="preserve">Efectivo y equivalentes al efectivo </t>
  </si>
  <si>
    <t>Propiedades, plantas y equipos</t>
  </si>
  <si>
    <t>23 (b)</t>
  </si>
  <si>
    <t>23 (e)</t>
  </si>
  <si>
    <t>23 (c)</t>
  </si>
  <si>
    <t>CORIMON, C. A.</t>
  </si>
  <si>
    <t>Flujos del Efectivo</t>
  </si>
  <si>
    <t>(Expresados en bolívares constantes)</t>
  </si>
  <si>
    <t>SALDOS AL</t>
  </si>
  <si>
    <t>VARACIONES</t>
  </si>
  <si>
    <t xml:space="preserve">                    AJUSTES</t>
  </si>
  <si>
    <t xml:space="preserve">SALDO </t>
  </si>
  <si>
    <t>SALDO AJUSTADO</t>
  </si>
  <si>
    <t>ACTIVIDADES</t>
  </si>
  <si>
    <t xml:space="preserve">FLUJO </t>
  </si>
  <si>
    <t>DESCRIPCION</t>
  </si>
  <si>
    <t>DEBE</t>
  </si>
  <si>
    <t>HABER</t>
  </si>
  <si>
    <t>AJUSTADO</t>
  </si>
  <si>
    <t>INVERSION</t>
  </si>
  <si>
    <t>FINANCIAMIENTO</t>
  </si>
  <si>
    <t>OPERACIÓN</t>
  </si>
  <si>
    <t>DE EFECTIVO</t>
  </si>
  <si>
    <t>ok</t>
  </si>
  <si>
    <t>Total Activo</t>
  </si>
  <si>
    <t>Pasivo Patrimonio</t>
  </si>
  <si>
    <t>Patrimonio</t>
  </si>
  <si>
    <t>Pasivo y Patrimonio</t>
  </si>
  <si>
    <t>Resultados del ejercicio</t>
  </si>
  <si>
    <t>Gato por impuesto diferido</t>
  </si>
  <si>
    <t>Adiciones AF</t>
  </si>
  <si>
    <t>Pago de dividendo</t>
  </si>
  <si>
    <t>reserva por conversón</t>
  </si>
  <si>
    <t>Cambio en el valor razonable de la Propiedad Inv</t>
  </si>
  <si>
    <t>Adiciones a Inversiones disponibles para la venta</t>
  </si>
  <si>
    <t>Provisión Actuario</t>
  </si>
  <si>
    <t>Reclasificaciones y desincorporaciones PPE</t>
  </si>
  <si>
    <t>PVTA de PPE</t>
  </si>
  <si>
    <t>Utilidad en venta de activo fijo</t>
  </si>
  <si>
    <t>Gasto de impuesto</t>
  </si>
  <si>
    <t>Pago de Impuesto</t>
  </si>
  <si>
    <t>Aporte de capital</t>
  </si>
  <si>
    <t>Pagos Préstamos bancarios</t>
  </si>
  <si>
    <t>Pagos Deuda a largo plazo</t>
  </si>
  <si>
    <t>Amortización  AI</t>
  </si>
  <si>
    <t>Adiciones Préstamos bancarios</t>
  </si>
  <si>
    <t>Adiciones Deuda largo plazo</t>
  </si>
  <si>
    <t>Pagos de interés préstamos bancarios</t>
  </si>
  <si>
    <t>Intereses acumulados</t>
  </si>
  <si>
    <t>Pérdida por venta de inversión</t>
  </si>
  <si>
    <t>PVTA de la inversión</t>
  </si>
  <si>
    <t>Acumulación Garantía</t>
  </si>
  <si>
    <t>Pago de Garantía</t>
  </si>
  <si>
    <t>Provisión de inventario</t>
  </si>
  <si>
    <t>Reverso de la estimación incobrable</t>
  </si>
  <si>
    <t>Participación no controladora</t>
  </si>
  <si>
    <t>Efecto de actualización</t>
  </si>
  <si>
    <t>SALDO AL INICIO DEL AÑO</t>
  </si>
  <si>
    <t xml:space="preserve">                Tomado de PT de informe auditado al 31 de marzo de 2017.</t>
  </si>
  <si>
    <t>SALDO AL FINAL DEL AÑO</t>
  </si>
  <si>
    <t>Movimientos para el flujo del efectivo</t>
  </si>
  <si>
    <t>Nominal</t>
  </si>
  <si>
    <t>Factor</t>
  </si>
  <si>
    <t>Reexpresado</t>
  </si>
  <si>
    <t>PMYE</t>
  </si>
  <si>
    <t>Deuda a largo plazo y préstamos bancarios</t>
  </si>
  <si>
    <t>Saldo al 31-03-2017</t>
  </si>
  <si>
    <t>(+) mas Adiciones</t>
  </si>
  <si>
    <t>(+)</t>
  </si>
  <si>
    <t>adiciones préstamos</t>
  </si>
  <si>
    <t>(-) Menos Depreciación</t>
  </si>
  <si>
    <t>(-)</t>
  </si>
  <si>
    <t>pagos de préstamos</t>
  </si>
  <si>
    <t>(-) Menos Proveniente de la venta</t>
  </si>
  <si>
    <t>efecto de actualización</t>
  </si>
  <si>
    <t>(+) Mas Utilidad en venta de activo fijo</t>
  </si>
  <si>
    <t>acumulación de intereses</t>
  </si>
  <si>
    <t>pago de intereses préstamos</t>
  </si>
  <si>
    <t>Desincorporación</t>
  </si>
  <si>
    <t>pagos de deuda</t>
  </si>
  <si>
    <t>Revaluación, neta</t>
  </si>
  <si>
    <t>adiciones deuda</t>
  </si>
  <si>
    <t>Efecto por traducción</t>
  </si>
  <si>
    <t>Saldo al 31-03-2016</t>
  </si>
  <si>
    <t>incluido en ef. Act</t>
  </si>
  <si>
    <t>Gasto</t>
  </si>
  <si>
    <t>(+) mas reclasificación</t>
  </si>
  <si>
    <t>(-) Depreciacion</t>
  </si>
  <si>
    <t>Superavit por revaluación</t>
  </si>
  <si>
    <t>(+) Cambios en el valor razonable</t>
  </si>
  <si>
    <t>Impuesto diferido ORI</t>
  </si>
  <si>
    <t>Ok</t>
  </si>
  <si>
    <t>Actuario</t>
  </si>
  <si>
    <t>Activo intagible</t>
  </si>
  <si>
    <t>Acumulación</t>
  </si>
  <si>
    <t>Pérdida actuarial</t>
  </si>
  <si>
    <t>Garantía prestaciones sociales</t>
  </si>
  <si>
    <t>Pago</t>
  </si>
  <si>
    <t>Impuesto por pagar</t>
  </si>
  <si>
    <t>(+) Aumentos</t>
  </si>
  <si>
    <t>(-) disminuciones</t>
  </si>
  <si>
    <t>(-) efecto de actualización</t>
  </si>
  <si>
    <t>Saldo al 31-03-2015</t>
  </si>
  <si>
    <t>(+) Mas Utilidad (-) pérdida en venta</t>
  </si>
  <si>
    <t>Cuentas incobrables</t>
  </si>
  <si>
    <t>Reverso</t>
  </si>
  <si>
    <t>Corrección monetaria</t>
  </si>
  <si>
    <t>provisión</t>
  </si>
  <si>
    <t>Adicion de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</si>
</sst>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_ ;_ * \-#,##0_ ;_ * &quot;-&quot;_ ;_ @_ "/>
    <numFmt numFmtId="165" formatCode="_ &quot;Bs.&quot;* #,##0.00_ ;_ &quot;Bs.&quot;* \-#,##0.00_ ;_ &quot;Bs.&quot;* &quot;-&quot;??_ ;_ @_ "/>
    <numFmt numFmtId="166" formatCode="_ * #,##0.00_ ;_ * \-#,##0.00_ ;_ * &quot;-&quot;??_ ;_ @_ "/>
    <numFmt numFmtId="167" formatCode="_ &quot;Bs. F&quot;\ * #,##0_ ;_ &quot;Bs. F&quot;\ * \-#,##0_ ;_ &quot;Bs. F&quot;\ * &quot;-&quot;_ ;_ @_ "/>
    <numFmt numFmtId="168" formatCode="_ &quot;Bs. F&quot;\ * #,##0.00_ ;_ &quot;Bs. F&quot;\ * \-#,##0.00_ ;_ &quot;Bs. F&quot;\ * &quot;-&quot;??_ ;_ @_ 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_(* #,##0.00_);_(* \(#,##0.00\);_(* &quot;-&quot;_);_(@_)"/>
    <numFmt numFmtId="175" formatCode="_ * #,##0_ ;_ * \-#,##0_ ;_ * &quot;-&quot;??_ ;_ @_ "/>
    <numFmt numFmtId="176" formatCode="_-* #,##0\ _P_t_s_-;\-* #,##0\ _P_t_s_-;_-* &quot;-&quot;??\ _P_t_s_-;_-@_-"/>
    <numFmt numFmtId="177" formatCode="#,##0.0000_);\(#,##0.0000\)"/>
    <numFmt numFmtId="178" formatCode="#,##0.00000;[Red]\-#,##0.00000"/>
    <numFmt numFmtId="179" formatCode="_-* #,##0.0000\ _P_t_s_-;\-* #,##0.0000\ _P_t_s_-;_-* &quot;-&quot;??\ _P_t_s_-;_-@_-"/>
  </numFmts>
  <fonts count="37">
    <font>
      <sz val="10"/>
      <name val="Univers 45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Univers 45 Light"/>
      <family val="2"/>
    </font>
    <font>
      <sz val="11"/>
      <name val="Univers 45 Light"/>
      <family val="2"/>
    </font>
    <font>
      <sz val="10"/>
      <name val="Univers 45 Light"/>
      <family val="2"/>
    </font>
    <font>
      <sz val="9"/>
      <name val="Univers 45 Light"/>
      <family val="2"/>
    </font>
    <font>
      <b/>
      <sz val="10"/>
      <name val="Univers 45 Light"/>
      <family val="2"/>
    </font>
    <font>
      <sz val="9.75"/>
      <name val="Helv"/>
    </font>
    <font>
      <sz val="10"/>
      <name val="MS Sans Serif"/>
      <family val="2"/>
    </font>
    <font>
      <sz val="9"/>
      <name val="Arial"/>
      <family val="2"/>
    </font>
    <font>
      <sz val="9"/>
      <name val="Arial"/>
      <family val="2"/>
    </font>
    <font>
      <sz val="10"/>
      <name val="MS Sans Serif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8" fillId="2" borderId="6" applyNumberFormat="0" applyAlignment="0" applyProtection="0"/>
    <xf numFmtId="0" fontId="28" fillId="0" borderId="0" applyBorder="0">
      <alignment horizontal="centerContinuous"/>
    </xf>
    <xf numFmtId="0" fontId="26" fillId="0" borderId="0" applyBorder="0">
      <alignment horizontal="centerContinuous"/>
    </xf>
    <xf numFmtId="170" fontId="7" fillId="0" borderId="0" applyFont="0" applyFill="0" applyBorder="0" applyAlignment="0" applyProtection="0"/>
    <xf numFmtId="169" fontId="5" fillId="0" borderId="0" applyBorder="0">
      <alignment horizontal="center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" fillId="0" borderId="7" applyNumberFormat="0" applyFill="0" applyAlignment="0" applyProtection="0"/>
    <xf numFmtId="0" fontId="5" fillId="3" borderId="8" applyNumberFormat="0" applyFont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2" borderId="12" applyNumberFormat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8" fillId="0" borderId="0" applyBorder="0">
      <alignment horizontal="center"/>
    </xf>
    <xf numFmtId="0" fontId="6" fillId="0" borderId="0" applyBorder="0">
      <alignment horizontal="centerContinuous"/>
    </xf>
    <xf numFmtId="0" fontId="5" fillId="0" borderId="0" applyBorder="0">
      <alignment horizontal="centerContinuous"/>
    </xf>
    <xf numFmtId="0" fontId="28" fillId="0" borderId="0" applyBorder="0">
      <alignment horizontal="centerContinuous"/>
    </xf>
    <xf numFmtId="166" fontId="4" fillId="0" borderId="0" applyFont="0" applyFill="0" applyBorder="0" applyAlignment="0" applyProtection="0"/>
    <xf numFmtId="0" fontId="29" fillId="0" borderId="0"/>
    <xf numFmtId="40" fontId="30" fillId="0" borderId="0" applyFont="0" applyFill="0" applyBorder="0" applyAlignment="0" applyProtection="0"/>
    <xf numFmtId="0" fontId="31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5" fillId="0" borderId="0" applyBorder="0"/>
    <xf numFmtId="164" fontId="23" fillId="0" borderId="0" applyBorder="0"/>
    <xf numFmtId="0" fontId="32" fillId="0" borderId="0"/>
    <xf numFmtId="0" fontId="7" fillId="0" borderId="0"/>
    <xf numFmtId="0" fontId="33" fillId="0" borderId="0"/>
    <xf numFmtId="0" fontId="3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0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14" applyNumberFormat="0" applyFill="0" applyAlignment="0" applyProtection="0"/>
  </cellStyleXfs>
  <cellXfs count="123">
    <xf numFmtId="0" fontId="0" fillId="0" borderId="0" xfId="0"/>
    <xf numFmtId="0" fontId="25" fillId="0" borderId="0" xfId="0" applyFont="1" applyFill="1"/>
    <xf numFmtId="0" fontId="24" fillId="0" borderId="0" xfId="25" applyFont="1" applyFill="1" applyBorder="1">
      <alignment horizontal="center"/>
    </xf>
    <xf numFmtId="169" fontId="25" fillId="0" borderId="0" xfId="0" applyNumberFormat="1" applyFont="1" applyFill="1" applyAlignment="1"/>
    <xf numFmtId="169" fontId="25" fillId="0" borderId="0" xfId="0" applyNumberFormat="1" applyFont="1" applyFill="1" applyBorder="1" applyAlignment="1"/>
    <xf numFmtId="0" fontId="24" fillId="0" borderId="0" xfId="2" applyFont="1" applyFill="1">
      <alignment horizontal="centerContinuous"/>
    </xf>
    <xf numFmtId="0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0" xfId="0" applyNumberFormat="1" applyFont="1" applyFill="1" applyBorder="1"/>
    <xf numFmtId="0" fontId="25" fillId="0" borderId="0" xfId="0" applyNumberFormat="1" applyFont="1" applyFill="1" applyBorder="1" applyAlignment="1"/>
    <xf numFmtId="164" fontId="25" fillId="0" borderId="0" xfId="0" applyNumberFormat="1" applyFont="1" applyFill="1" applyBorder="1" applyAlignment="1"/>
    <xf numFmtId="169" fontId="27" fillId="0" borderId="0" xfId="0" applyNumberFormat="1" applyFont="1" applyFill="1" applyAlignment="1"/>
    <xf numFmtId="169" fontId="27" fillId="0" borderId="0" xfId="0" applyNumberFormat="1" applyFont="1" applyFill="1" applyAlignment="1">
      <alignment horizontal="center" wrapText="1"/>
    </xf>
    <xf numFmtId="0" fontId="27" fillId="0" borderId="0" xfId="0" applyNumberFormat="1" applyFont="1" applyFill="1" applyAlignment="1"/>
    <xf numFmtId="172" fontId="25" fillId="0" borderId="0" xfId="0" applyNumberFormat="1" applyFont="1" applyFill="1"/>
    <xf numFmtId="0" fontId="25" fillId="0" borderId="0" xfId="0" applyFont="1" applyFill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0" xfId="0" applyNumberFormat="1" applyFont="1" applyFill="1" applyBorder="1"/>
    <xf numFmtId="0" fontId="28" fillId="0" borderId="0" xfId="2">
      <alignment horizontal="centerContinuous"/>
    </xf>
    <xf numFmtId="0" fontId="28" fillId="0" borderId="1" xfId="25" applyBorder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169" fontId="0" fillId="0" borderId="1" xfId="0" applyNumberFormat="1" applyBorder="1"/>
    <xf numFmtId="169" fontId="0" fillId="0" borderId="0" xfId="0" applyNumberFormat="1" applyBorder="1"/>
    <xf numFmtId="169" fontId="0" fillId="0" borderId="5" xfId="0" applyNumberFormat="1" applyBorder="1"/>
    <xf numFmtId="169" fontId="0" fillId="0" borderId="3" xfId="0" applyNumberFormat="1" applyBorder="1"/>
    <xf numFmtId="169" fontId="0" fillId="0" borderId="4" xfId="0" applyNumberFormat="1" applyBorder="1"/>
    <xf numFmtId="0" fontId="28" fillId="0" borderId="0" xfId="25" applyBorder="1">
      <alignment horizontal="center"/>
    </xf>
    <xf numFmtId="172" fontId="0" fillId="0" borderId="2" xfId="0" applyNumberFormat="1" applyBorder="1"/>
    <xf numFmtId="169" fontId="0" fillId="0" borderId="0" xfId="0" applyNumberFormat="1" applyFill="1"/>
    <xf numFmtId="38" fontId="25" fillId="0" borderId="0" xfId="31" applyNumberFormat="1" applyFont="1" applyFill="1" applyBorder="1" applyAlignment="1"/>
    <xf numFmtId="38" fontId="25" fillId="0" borderId="0" xfId="0" applyNumberFormat="1" applyFont="1" applyFill="1" applyBorder="1" applyAlignment="1"/>
    <xf numFmtId="175" fontId="0" fillId="0" borderId="0" xfId="31" applyNumberFormat="1" applyFont="1"/>
    <xf numFmtId="165" fontId="0" fillId="0" borderId="0" xfId="0" applyNumberFormat="1" applyAlignment="1">
      <alignment horizontal="center"/>
    </xf>
    <xf numFmtId="38" fontId="27" fillId="0" borderId="0" xfId="31" applyNumberFormat="1" applyFont="1" applyFill="1" applyAlignment="1"/>
    <xf numFmtId="38" fontId="27" fillId="0" borderId="0" xfId="0" applyNumberFormat="1" applyFont="1" applyFill="1" applyAlignment="1"/>
    <xf numFmtId="169" fontId="0" fillId="0" borderId="3" xfId="0" applyNumberFormat="1" applyFill="1" applyBorder="1"/>
    <xf numFmtId="169" fontId="27" fillId="10" borderId="0" xfId="0" applyNumberFormat="1" applyFont="1" applyFill="1" applyAlignment="1"/>
    <xf numFmtId="0" fontId="35" fillId="0" borderId="0" xfId="0" applyFont="1" applyFill="1" applyAlignment="1">
      <alignment horizontal="center"/>
    </xf>
    <xf numFmtId="0" fontId="23" fillId="0" borderId="0" xfId="0" applyFont="1" applyFill="1"/>
    <xf numFmtId="3" fontId="35" fillId="0" borderId="0" xfId="0" applyNumberFormat="1" applyFont="1" applyFill="1" applyAlignment="1">
      <alignment horizontal="center"/>
    </xf>
    <xf numFmtId="0" fontId="35" fillId="0" borderId="15" xfId="0" applyFont="1" applyFill="1" applyBorder="1"/>
    <xf numFmtId="0" fontId="35" fillId="0" borderId="16" xfId="0" applyFont="1" applyFill="1" applyBorder="1" applyAlignment="1">
      <alignment horizontal="centerContinuous"/>
    </xf>
    <xf numFmtId="0" fontId="35" fillId="0" borderId="17" xfId="0" applyFont="1" applyFill="1" applyBorder="1" applyAlignment="1">
      <alignment horizontal="centerContinuous"/>
    </xf>
    <xf numFmtId="3" fontId="35" fillId="0" borderId="16" xfId="0" applyNumberFormat="1" applyFont="1" applyFill="1" applyBorder="1" applyAlignment="1">
      <alignment horizontal="centerContinuous"/>
    </xf>
    <xf numFmtId="0" fontId="35" fillId="0" borderId="16" xfId="0" applyFont="1" applyFill="1" applyBorder="1" applyAlignment="1"/>
    <xf numFmtId="0" fontId="35" fillId="0" borderId="17" xfId="0" applyFont="1" applyFill="1" applyBorder="1" applyAlignment="1"/>
    <xf numFmtId="0" fontId="35" fillId="0" borderId="18" xfId="0" applyFont="1" applyFill="1" applyBorder="1" applyAlignment="1">
      <alignment horizontal="centerContinuous"/>
    </xf>
    <xf numFmtId="0" fontId="35" fillId="0" borderId="0" xfId="0" applyFont="1" applyFill="1" applyBorder="1"/>
    <xf numFmtId="0" fontId="35" fillId="0" borderId="19" xfId="0" applyFont="1" applyFill="1" applyBorder="1" applyAlignment="1">
      <alignment horizontal="centerContinuous"/>
    </xf>
    <xf numFmtId="14" fontId="35" fillId="0" borderId="20" xfId="0" applyNumberFormat="1" applyFont="1" applyFill="1" applyBorder="1" applyAlignment="1">
      <alignment horizontal="centerContinuous"/>
    </xf>
    <xf numFmtId="3" fontId="35" fillId="0" borderId="20" xfId="0" applyNumberFormat="1" applyFont="1" applyFill="1" applyBorder="1" applyAlignment="1">
      <alignment horizontal="centerContinuous"/>
    </xf>
    <xf numFmtId="0" fontId="35" fillId="0" borderId="20" xfId="0" applyFont="1" applyFill="1" applyBorder="1" applyAlignment="1">
      <alignment horizontal="centerContinuous"/>
    </xf>
    <xf numFmtId="0" fontId="35" fillId="0" borderId="20" xfId="0" applyFont="1" applyFill="1" applyBorder="1" applyAlignment="1">
      <alignment horizontal="center"/>
    </xf>
    <xf numFmtId="0" fontId="35" fillId="0" borderId="19" xfId="0" applyFont="1" applyFill="1" applyBorder="1"/>
    <xf numFmtId="0" fontId="35" fillId="0" borderId="21" xfId="0" applyFont="1" applyFill="1" applyBorder="1" applyAlignment="1">
      <alignment horizontal="center"/>
    </xf>
    <xf numFmtId="171" fontId="23" fillId="0" borderId="15" xfId="0" applyNumberFormat="1" applyFont="1" applyFill="1" applyBorder="1"/>
    <xf numFmtId="171" fontId="23" fillId="0" borderId="22" xfId="0" applyNumberFormat="1" applyFont="1" applyFill="1" applyBorder="1"/>
    <xf numFmtId="171" fontId="23" fillId="0" borderId="21" xfId="0" applyNumberFormat="1" applyFont="1" applyFill="1" applyBorder="1"/>
    <xf numFmtId="0" fontId="23" fillId="0" borderId="0" xfId="0" applyFont="1" applyFill="1" applyBorder="1"/>
    <xf numFmtId="0" fontId="0" fillId="0" borderId="0" xfId="0" applyFill="1"/>
    <xf numFmtId="171" fontId="23" fillId="0" borderId="0" xfId="0" applyNumberFormat="1" applyFont="1" applyFill="1"/>
    <xf numFmtId="3" fontId="23" fillId="0" borderId="0" xfId="0" applyNumberFormat="1" applyFont="1" applyFill="1" applyBorder="1"/>
    <xf numFmtId="171" fontId="23" fillId="0" borderId="21" xfId="0" applyNumberFormat="1" applyFont="1" applyFill="1" applyBorder="1" applyAlignment="1"/>
    <xf numFmtId="3" fontId="35" fillId="0" borderId="0" xfId="0" applyNumberFormat="1" applyFont="1" applyFill="1" applyBorder="1"/>
    <xf numFmtId="171" fontId="0" fillId="0" borderId="21" xfId="31" applyNumberFormat="1" applyFont="1" applyFill="1" applyBorder="1" applyAlignment="1"/>
    <xf numFmtId="0" fontId="35" fillId="0" borderId="0" xfId="0" applyFont="1" applyFill="1"/>
    <xf numFmtId="171" fontId="0" fillId="9" borderId="21" xfId="31" applyNumberFormat="1" applyFont="1" applyFill="1" applyBorder="1" applyAlignment="1"/>
    <xf numFmtId="171" fontId="23" fillId="9" borderId="0" xfId="0" applyNumberFormat="1" applyFont="1" applyFill="1"/>
    <xf numFmtId="171" fontId="23" fillId="9" borderId="21" xfId="0" applyNumberFormat="1" applyFont="1" applyFill="1" applyBorder="1"/>
    <xf numFmtId="0" fontId="0" fillId="9" borderId="0" xfId="0" applyFill="1"/>
    <xf numFmtId="0" fontId="23" fillId="0" borderId="22" xfId="0" applyFont="1" applyFill="1" applyBorder="1"/>
    <xf numFmtId="38" fontId="35" fillId="0" borderId="21" xfId="0" applyNumberFormat="1" applyFont="1" applyFill="1" applyBorder="1" applyAlignment="1">
      <alignment horizontal="centerContinuous"/>
    </xf>
    <xf numFmtId="171" fontId="35" fillId="0" borderId="20" xfId="0" applyNumberFormat="1" applyFont="1" applyFill="1" applyBorder="1"/>
    <xf numFmtId="0" fontId="23" fillId="0" borderId="21" xfId="0" applyFont="1" applyFill="1" applyBorder="1"/>
    <xf numFmtId="171" fontId="23" fillId="9" borderId="22" xfId="0" applyNumberFormat="1" applyFont="1" applyFill="1" applyBorder="1"/>
    <xf numFmtId="38" fontId="23" fillId="9" borderId="21" xfId="0" applyNumberFormat="1" applyFont="1" applyFill="1" applyBorder="1"/>
    <xf numFmtId="38" fontId="35" fillId="0" borderId="23" xfId="0" applyNumberFormat="1" applyFont="1" applyFill="1" applyBorder="1" applyAlignment="1">
      <alignment horizontal="centerContinuous"/>
    </xf>
    <xf numFmtId="171" fontId="23" fillId="0" borderId="24" xfId="0" applyNumberFormat="1" applyFont="1" applyFill="1" applyBorder="1"/>
    <xf numFmtId="38" fontId="23" fillId="0" borderId="21" xfId="0" applyNumberFormat="1" applyFont="1" applyFill="1" applyBorder="1"/>
    <xf numFmtId="0" fontId="23" fillId="0" borderId="21" xfId="0" applyFont="1" applyFill="1" applyBorder="1" applyAlignment="1">
      <alignment horizontal="left"/>
    </xf>
    <xf numFmtId="3" fontId="23" fillId="0" borderId="0" xfId="0" applyNumberFormat="1" applyFont="1" applyFill="1"/>
    <xf numFmtId="171" fontId="23" fillId="0" borderId="23" xfId="0" applyNumberFormat="1" applyFont="1" applyFill="1" applyBorder="1"/>
    <xf numFmtId="171" fontId="23" fillId="0" borderId="25" xfId="0" applyNumberFormat="1" applyFont="1" applyFill="1" applyBorder="1"/>
    <xf numFmtId="171" fontId="23" fillId="0" borderId="26" xfId="0" applyNumberFormat="1" applyFont="1" applyFill="1" applyBorder="1"/>
    <xf numFmtId="0" fontId="23" fillId="0" borderId="19" xfId="0" applyFont="1" applyFill="1" applyBorder="1"/>
    <xf numFmtId="171" fontId="23" fillId="0" borderId="19" xfId="0" applyNumberFormat="1" applyFont="1" applyFill="1" applyBorder="1"/>
    <xf numFmtId="171" fontId="23" fillId="0" borderId="27" xfId="0" applyNumberFormat="1" applyFont="1" applyFill="1" applyBorder="1"/>
    <xf numFmtId="171" fontId="23" fillId="0" borderId="2" xfId="0" applyNumberFormat="1" applyFont="1" applyFill="1" applyBorder="1"/>
    <xf numFmtId="176" fontId="23" fillId="0" borderId="0" xfId="31" applyNumberFormat="1" applyFont="1" applyFill="1"/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/>
    <xf numFmtId="177" fontId="23" fillId="0" borderId="0" xfId="0" applyNumberFormat="1" applyFont="1" applyFill="1" applyBorder="1"/>
    <xf numFmtId="37" fontId="23" fillId="0" borderId="0" xfId="0" applyNumberFormat="1" applyFont="1" applyFill="1" applyBorder="1"/>
    <xf numFmtId="176" fontId="23" fillId="0" borderId="0" xfId="0" applyNumberFormat="1" applyFont="1" applyFill="1"/>
    <xf numFmtId="3" fontId="23" fillId="0" borderId="5" xfId="0" applyNumberFormat="1" applyFont="1" applyFill="1" applyBorder="1"/>
    <xf numFmtId="164" fontId="0" fillId="0" borderId="0" xfId="0" applyNumberFormat="1" applyFill="1"/>
    <xf numFmtId="176" fontId="23" fillId="0" borderId="0" xfId="31" applyNumberFormat="1" applyFont="1" applyFill="1" applyBorder="1"/>
    <xf numFmtId="40" fontId="23" fillId="0" borderId="0" xfId="31" applyFont="1" applyFill="1" applyBorder="1"/>
    <xf numFmtId="0" fontId="0" fillId="0" borderId="0" xfId="0" applyFill="1" applyBorder="1"/>
    <xf numFmtId="164" fontId="23" fillId="0" borderId="0" xfId="0" applyNumberFormat="1" applyFont="1" applyFill="1"/>
    <xf numFmtId="166" fontId="0" fillId="0" borderId="0" xfId="0" applyNumberFormat="1" applyFill="1" applyBorder="1"/>
    <xf numFmtId="0" fontId="36" fillId="0" borderId="0" xfId="0" applyFont="1" applyFill="1"/>
    <xf numFmtId="0" fontId="6" fillId="0" borderId="0" xfId="0" applyNumberFormat="1" applyFont="1" applyFill="1" applyBorder="1" applyAlignment="1"/>
    <xf numFmtId="178" fontId="5" fillId="0" borderId="0" xfId="30" applyNumberFormat="1" applyFont="1" applyFill="1" applyBorder="1"/>
    <xf numFmtId="164" fontId="23" fillId="0" borderId="0" xfId="0" applyNumberFormat="1" applyFont="1" applyFill="1" applyBorder="1"/>
    <xf numFmtId="164" fontId="23" fillId="0" borderId="0" xfId="31" applyNumberFormat="1" applyFont="1" applyFill="1" applyBorder="1"/>
    <xf numFmtId="164" fontId="23" fillId="0" borderId="0" xfId="0" applyNumberFormat="1" applyFont="1" applyFill="1" applyBorder="1" applyAlignment="1">
      <alignment horizontal="right"/>
    </xf>
    <xf numFmtId="176" fontId="0" fillId="0" borderId="0" xfId="31" applyNumberFormat="1" applyFont="1" applyFill="1" applyBorder="1"/>
    <xf numFmtId="179" fontId="23" fillId="0" borderId="0" xfId="31" applyNumberFormat="1" applyFont="1" applyFill="1" applyBorder="1"/>
    <xf numFmtId="0" fontId="23" fillId="0" borderId="5" xfId="0" applyFont="1" applyFill="1" applyBorder="1"/>
    <xf numFmtId="3" fontId="35" fillId="11" borderId="0" xfId="0" applyNumberFormat="1" applyFont="1" applyFill="1" applyBorder="1"/>
    <xf numFmtId="176" fontId="23" fillId="0" borderId="0" xfId="0" applyNumberFormat="1" applyFont="1" applyFill="1" applyBorder="1"/>
    <xf numFmtId="169" fontId="0" fillId="0" borderId="0" xfId="0" applyNumberFormat="1" applyFill="1" applyBorder="1"/>
    <xf numFmtId="0" fontId="35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63">
    <cellStyle name="Bueno" xfId="16" builtinId="26" hidden="1"/>
    <cellStyle name="Cálculo" xfId="1" builtinId="22" hidden="1"/>
    <cellStyle name="Celda de comprobación" xfId="21" builtinId="23" hidden="1"/>
    <cellStyle name="Celda vinculada" xfId="8" builtinId="24" hidden="1"/>
    <cellStyle name="CH Encabezado" xfId="2"/>
    <cellStyle name="CH Encabezado 2" xfId="28"/>
    <cellStyle name="CH s/n Encabezado" xfId="3"/>
    <cellStyle name="Comma [0] 2" xfId="37"/>
    <cellStyle name="Comma 2" xfId="29"/>
    <cellStyle name="Comma 3" xfId="34"/>
    <cellStyle name="Comma 4" xfId="42"/>
    <cellStyle name="Comma 5" xfId="43"/>
    <cellStyle name="Encabezado" xfId="25"/>
    <cellStyle name="Encabezado 1" xfId="12" builtinId="16" hidden="1"/>
    <cellStyle name="Encabezado 4" xfId="15" builtinId="19" hidden="1"/>
    <cellStyle name="encabezado ch" xfId="26"/>
    <cellStyle name="encabezado ch/sn" xfId="27"/>
    <cellStyle name="Entrada" xfId="19" builtinId="20" hidden="1"/>
    <cellStyle name="Incorrecto" xfId="17" builtinId="27" hidden="1"/>
    <cellStyle name="Millares" xfId="4" builtinId="3" hidden="1"/>
    <cellStyle name="Millares" xfId="31" builtinId="3"/>
    <cellStyle name="Millares [0]" xfId="5" builtinId="6" hidden="1"/>
    <cellStyle name="Millares 2" xfId="45"/>
    <cellStyle name="Millares 3" xfId="46"/>
    <cellStyle name="Millares 3 2" xfId="47"/>
    <cellStyle name="Millares 3 3" xfId="48"/>
    <cellStyle name="Millares 3 4" xfId="49"/>
    <cellStyle name="Millares 3 5" xfId="50"/>
    <cellStyle name="Moneda" xfId="6" builtinId="4" hidden="1"/>
    <cellStyle name="Moneda [0]" xfId="7" builtinId="7" hidden="1"/>
    <cellStyle name="Neutral" xfId="18" builtinId="28" hidden="1"/>
    <cellStyle name="Neutral" xfId="51" builtinId="28" customBuiltin="1"/>
    <cellStyle name="Normal" xfId="0" builtinId="0" customBuiltin="1"/>
    <cellStyle name="Normal 10" xfId="44"/>
    <cellStyle name="Normal 2" xfId="30"/>
    <cellStyle name="Normal 2 2" xfId="53"/>
    <cellStyle name="Normal 2 3" xfId="54"/>
    <cellStyle name="Normal 2 4" xfId="55"/>
    <cellStyle name="Normal 2 5" xfId="56"/>
    <cellStyle name="Normal 2 6" xfId="52"/>
    <cellStyle name="Normal 3" xfId="32"/>
    <cellStyle name="Normal 3 2" xfId="58"/>
    <cellStyle name="Normal 3 3" xfId="59"/>
    <cellStyle name="Normal 3 4" xfId="60"/>
    <cellStyle name="Normal 3 5" xfId="61"/>
    <cellStyle name="Normal 3 6" xfId="57"/>
    <cellStyle name="Normal 4" xfId="33"/>
    <cellStyle name="Normal 5" xfId="35"/>
    <cellStyle name="Normal 58" xfId="36"/>
    <cellStyle name="Normal 6" xfId="38"/>
    <cellStyle name="Normal 7" xfId="39"/>
    <cellStyle name="Normal 8" xfId="40"/>
    <cellStyle name="Normal 9" xfId="41"/>
    <cellStyle name="Notas" xfId="9" builtinId="10" hidden="1"/>
    <cellStyle name="Porcentaje" xfId="10" builtinId="5" hidden="1"/>
    <cellStyle name="Salida" xfId="20" builtinId="21" hidden="1"/>
    <cellStyle name="Texto de advertencia" xfId="22" builtinId="11" hidden="1"/>
    <cellStyle name="Texto explicativo" xfId="23" builtinId="53" hidden="1"/>
    <cellStyle name="Título" xfId="11" builtinId="15" hidden="1"/>
    <cellStyle name="Título 2" xfId="13" builtinId="17" hidden="1"/>
    <cellStyle name="Título 3" xfId="14" builtinId="18" hidden="1"/>
    <cellStyle name="Total" xfId="24" builtinId="25" hidden="1"/>
    <cellStyle name="Total" xfId="62" builtinId="25" customBuiltin="1"/>
  </cellStyles>
  <dxfs count="0"/>
  <tableStyles count="0" defaultTableStyle="TableStyleMedium9" defaultPivotStyle="PivotStyleLight16"/>
  <colors>
    <mruColors>
      <color rgb="FF009999"/>
      <color rgb="FFCC99FF"/>
      <color rgb="FFFF66CC"/>
      <color rgb="FFFF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71</xdr:row>
      <xdr:rowOff>152400</xdr:rowOff>
    </xdr:from>
    <xdr:to>
      <xdr:col>0</xdr:col>
      <xdr:colOff>200025</xdr:colOff>
      <xdr:row>72</xdr:row>
      <xdr:rowOff>149225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14300" y="12275820"/>
          <a:ext cx="85725" cy="164465"/>
          <a:chOff x="763" y="211"/>
          <a:chExt cx="13" cy="21"/>
        </a:xfrm>
      </xdr:grpSpPr>
      <xdr:sp macro="" textlink="">
        <xdr:nvSpPr>
          <xdr:cNvPr id="3" name="Line 10"/>
          <xdr:cNvSpPr>
            <a:spLocks noChangeShapeType="1"/>
          </xdr:cNvSpPr>
        </xdr:nvSpPr>
        <xdr:spPr bwMode="auto">
          <a:xfrm>
            <a:off x="763" y="223"/>
            <a:ext cx="4" cy="9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1"/>
          <xdr:cNvSpPr>
            <a:spLocks noChangeShapeType="1"/>
          </xdr:cNvSpPr>
        </xdr:nvSpPr>
        <xdr:spPr bwMode="auto">
          <a:xfrm flipV="1">
            <a:off x="767" y="211"/>
            <a:ext cx="9" cy="21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114300</xdr:rowOff>
    </xdr:from>
    <xdr:to>
      <xdr:col>2</xdr:col>
      <xdr:colOff>1905</xdr:colOff>
      <xdr:row>4</xdr:row>
      <xdr:rowOff>111125</xdr:rowOff>
    </xdr:to>
    <xdr:grpSp>
      <xdr:nvGrpSpPr>
        <xdr:cNvPr id="5" name="Group 9"/>
        <xdr:cNvGrpSpPr>
          <a:grpSpLocks/>
        </xdr:cNvGrpSpPr>
      </xdr:nvGrpSpPr>
      <xdr:grpSpPr bwMode="auto">
        <a:xfrm>
          <a:off x="4274820" y="617220"/>
          <a:ext cx="1905" cy="164465"/>
          <a:chOff x="763" y="211"/>
          <a:chExt cx="13" cy="21"/>
        </a:xfrm>
      </xdr:grpSpPr>
      <xdr:sp macro="" textlink="">
        <xdr:nvSpPr>
          <xdr:cNvPr id="6" name="Line 10"/>
          <xdr:cNvSpPr>
            <a:spLocks noChangeShapeType="1"/>
          </xdr:cNvSpPr>
        </xdr:nvSpPr>
        <xdr:spPr bwMode="auto">
          <a:xfrm>
            <a:off x="763" y="223"/>
            <a:ext cx="4" cy="9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1"/>
          <xdr:cNvSpPr>
            <a:spLocks noChangeShapeType="1"/>
          </xdr:cNvSpPr>
        </xdr:nvSpPr>
        <xdr:spPr bwMode="auto">
          <a:xfrm flipV="1">
            <a:off x="767" y="211"/>
            <a:ext cx="9" cy="21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546100</xdr:colOff>
      <xdr:row>3</xdr:row>
      <xdr:rowOff>127000</xdr:rowOff>
    </xdr:from>
    <xdr:to>
      <xdr:col>2</xdr:col>
      <xdr:colOff>631825</xdr:colOff>
      <xdr:row>4</xdr:row>
      <xdr:rowOff>123825</xdr:rowOff>
    </xdr:to>
    <xdr:grpSp>
      <xdr:nvGrpSpPr>
        <xdr:cNvPr id="8" name="Group 9"/>
        <xdr:cNvGrpSpPr>
          <a:grpSpLocks/>
        </xdr:cNvGrpSpPr>
      </xdr:nvGrpSpPr>
      <xdr:grpSpPr bwMode="auto">
        <a:xfrm>
          <a:off x="4820920" y="629920"/>
          <a:ext cx="85725" cy="164465"/>
          <a:chOff x="763" y="211"/>
          <a:chExt cx="13" cy="21"/>
        </a:xfrm>
      </xdr:grpSpPr>
      <xdr:sp macro="" textlink="">
        <xdr:nvSpPr>
          <xdr:cNvPr id="9" name="Line 10"/>
          <xdr:cNvSpPr>
            <a:spLocks noChangeShapeType="1"/>
          </xdr:cNvSpPr>
        </xdr:nvSpPr>
        <xdr:spPr bwMode="auto">
          <a:xfrm>
            <a:off x="763" y="223"/>
            <a:ext cx="4" cy="9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1"/>
          <xdr:cNvSpPr>
            <a:spLocks noChangeShapeType="1"/>
          </xdr:cNvSpPr>
        </xdr:nvSpPr>
        <xdr:spPr bwMode="auto">
          <a:xfrm flipV="1">
            <a:off x="767" y="211"/>
            <a:ext cx="9" cy="21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quintero\Documents\KPMG\CLIENTES\GRUPO%20CORIMON\2018\Flujo%20de%20Efectivo%20CR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E "/>
      <sheetName val="Sheet1"/>
    </sheetNames>
    <sheetDataSet>
      <sheetData sheetId="0">
        <row r="43">
          <cell r="O43">
            <v>-2527337686</v>
          </cell>
        </row>
      </sheetData>
      <sheetData sheetId="1">
        <row r="8">
          <cell r="C8">
            <v>283946769</v>
          </cell>
        </row>
        <row r="9">
          <cell r="C9">
            <v>1926088</v>
          </cell>
        </row>
        <row r="10">
          <cell r="C10">
            <v>-7724494</v>
          </cell>
        </row>
        <row r="11">
          <cell r="C11">
            <v>-143556</v>
          </cell>
        </row>
        <row r="12">
          <cell r="C12">
            <v>435621908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6"/>
  <sheetViews>
    <sheetView tabSelected="1" zoomScaleNormal="100" zoomScaleSheetLayoutView="100" workbookViewId="0">
      <selection activeCell="H20" sqref="H20"/>
    </sheetView>
  </sheetViews>
  <sheetFormatPr baseColWidth="10" defaultColWidth="11.44140625" defaultRowHeight="12.9" customHeight="1"/>
  <cols>
    <col min="1" max="7" width="2.109375" style="1" customWidth="1"/>
    <col min="8" max="8" width="59" style="1" customWidth="1"/>
    <col min="9" max="9" width="6.33203125" style="7" bestFit="1" customWidth="1"/>
    <col min="10" max="10" width="2.44140625" style="1" customWidth="1"/>
    <col min="11" max="11" width="16.44140625" style="1" bestFit="1" customWidth="1"/>
    <col min="12" max="12" width="2.44140625" style="18" customWidth="1"/>
    <col min="13" max="13" width="18" style="1" customWidth="1"/>
    <col min="14" max="14" width="1.109375" style="14" customWidth="1"/>
    <col min="15" max="15" width="14.6640625" style="6" customWidth="1"/>
    <col min="16" max="16" width="12.88671875" style="6" customWidth="1"/>
    <col min="17" max="17" width="13.44140625" style="6" bestFit="1" customWidth="1"/>
    <col min="18" max="16384" width="11.44140625" style="6"/>
  </cols>
  <sheetData>
    <row r="1" spans="1:17" ht="12" customHeight="1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 ht="12" customHeight="1">
      <c r="A2" s="120" t="s">
        <v>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7" ht="12" customHeight="1">
      <c r="A3" s="120" t="s">
        <v>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7" ht="12" customHeight="1">
      <c r="A4" s="122" t="s">
        <v>72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7" ht="26.1" customHeight="1">
      <c r="A5" s="6"/>
      <c r="I5" s="23" t="s">
        <v>34</v>
      </c>
      <c r="J5" s="2"/>
      <c r="K5" s="23">
        <v>2018</v>
      </c>
      <c r="L5" s="31"/>
      <c r="M5" s="23">
        <v>2017</v>
      </c>
      <c r="N5" s="15"/>
      <c r="O5" s="23" t="s">
        <v>88</v>
      </c>
    </row>
    <row r="6" spans="1:17" ht="20.100000000000001" customHeight="1">
      <c r="A6" s="22" t="s">
        <v>1</v>
      </c>
      <c r="B6" s="22"/>
      <c r="C6" s="22"/>
      <c r="D6" s="22"/>
      <c r="E6" s="22"/>
      <c r="F6" s="22"/>
      <c r="G6" s="22"/>
      <c r="H6" s="22"/>
      <c r="I6" s="24"/>
      <c r="J6" s="9"/>
      <c r="K6" s="9"/>
      <c r="L6" s="19"/>
      <c r="M6" s="19"/>
    </row>
    <row r="7" spans="1:17" s="16" customFormat="1" ht="20.100000000000001" customHeight="1">
      <c r="A7" t="s">
        <v>8</v>
      </c>
      <c r="B7"/>
      <c r="C7"/>
      <c r="D7"/>
      <c r="E7"/>
      <c r="F7"/>
      <c r="G7"/>
      <c r="H7"/>
      <c r="I7" s="24"/>
      <c r="J7" s="1"/>
      <c r="K7" s="1"/>
      <c r="L7" s="19"/>
      <c r="M7" s="18"/>
      <c r="N7" s="14"/>
    </row>
    <row r="8" spans="1:17" s="16" customFormat="1" ht="14.1" customHeight="1">
      <c r="A8"/>
      <c r="B8" t="s">
        <v>94</v>
      </c>
      <c r="C8"/>
      <c r="D8"/>
      <c r="E8"/>
      <c r="F8"/>
      <c r="G8"/>
      <c r="H8"/>
      <c r="I8" s="24">
        <v>9</v>
      </c>
      <c r="J8" s="1"/>
      <c r="K8" s="25">
        <v>556289530</v>
      </c>
      <c r="L8" s="27"/>
      <c r="M8" s="25">
        <v>5485985</v>
      </c>
      <c r="N8" s="14"/>
      <c r="O8" s="14">
        <f>+M8-K8</f>
        <v>-550803545</v>
      </c>
    </row>
    <row r="9" spans="1:17" s="16" customFormat="1" ht="14.1" customHeight="1">
      <c r="A9"/>
      <c r="B9" t="s">
        <v>80</v>
      </c>
      <c r="C9"/>
      <c r="D9"/>
      <c r="E9"/>
      <c r="F9"/>
      <c r="G9"/>
      <c r="H9"/>
      <c r="I9" s="24">
        <v>10</v>
      </c>
      <c r="J9" s="1"/>
      <c r="K9" s="25">
        <v>928821621</v>
      </c>
      <c r="L9" s="27"/>
      <c r="M9" s="25">
        <v>23189409</v>
      </c>
      <c r="N9" s="14"/>
      <c r="O9" s="41">
        <f>+M9-K9</f>
        <v>-905632212</v>
      </c>
      <c r="Q9" s="38"/>
    </row>
    <row r="10" spans="1:17" s="16" customFormat="1" ht="14.1" customHeight="1">
      <c r="A10"/>
      <c r="B10" t="s">
        <v>30</v>
      </c>
      <c r="C10"/>
      <c r="D10"/>
      <c r="E10"/>
      <c r="F10"/>
      <c r="G10"/>
      <c r="H10"/>
      <c r="I10" s="24">
        <v>11</v>
      </c>
      <c r="J10" s="1"/>
      <c r="K10" s="25">
        <v>1081815542</v>
      </c>
      <c r="L10" s="27"/>
      <c r="M10" s="25">
        <v>34356972</v>
      </c>
      <c r="N10" s="14"/>
      <c r="O10" s="41">
        <f>+M10-K10</f>
        <v>-1047458570</v>
      </c>
      <c r="P10" s="14"/>
    </row>
    <row r="11" spans="1:17" s="16" customFormat="1" ht="14.1" customHeight="1">
      <c r="A11"/>
      <c r="B11" t="s">
        <v>0</v>
      </c>
      <c r="C11"/>
      <c r="D11"/>
      <c r="E11"/>
      <c r="F11"/>
      <c r="G11"/>
      <c r="H11"/>
      <c r="I11" s="24"/>
      <c r="J11" s="1"/>
      <c r="K11" s="25">
        <v>12833991</v>
      </c>
      <c r="L11" s="27"/>
      <c r="M11" s="25">
        <v>628044</v>
      </c>
      <c r="N11" s="14"/>
      <c r="O11" s="41">
        <f>+M11-K11</f>
        <v>-12205947</v>
      </c>
      <c r="Q11" s="39"/>
    </row>
    <row r="12" spans="1:17" s="16" customFormat="1" ht="20.100000000000001" customHeight="1">
      <c r="A12"/>
      <c r="B12"/>
      <c r="C12"/>
      <c r="D12"/>
      <c r="E12"/>
      <c r="F12"/>
      <c r="G12" t="s">
        <v>9</v>
      </c>
      <c r="H12"/>
      <c r="I12" s="24"/>
      <c r="J12" s="1"/>
      <c r="K12" s="29">
        <f>SUM(K8:K11)</f>
        <v>2579760684</v>
      </c>
      <c r="L12" s="27"/>
      <c r="M12" s="29">
        <f>SUM(M8:M11)</f>
        <v>63660410</v>
      </c>
      <c r="N12" s="14"/>
    </row>
    <row r="13" spans="1:17" s="16" customFormat="1" ht="20.100000000000001" customHeight="1">
      <c r="A13" t="s">
        <v>10</v>
      </c>
      <c r="B13"/>
      <c r="C13"/>
      <c r="D13"/>
      <c r="E13"/>
      <c r="F13"/>
      <c r="G13"/>
      <c r="H13"/>
      <c r="I13" s="24"/>
      <c r="J13" s="1"/>
      <c r="K13" s="25"/>
      <c r="L13" s="27"/>
      <c r="M13" s="25"/>
      <c r="N13" s="14"/>
    </row>
    <row r="14" spans="1:17" s="16" customFormat="1" ht="14.1" customHeight="1">
      <c r="A14"/>
      <c r="B14" t="s">
        <v>31</v>
      </c>
      <c r="C14"/>
      <c r="D14"/>
      <c r="E14"/>
      <c r="F14"/>
      <c r="G14"/>
      <c r="H14"/>
      <c r="I14" s="24">
        <v>12</v>
      </c>
      <c r="J14" s="1"/>
      <c r="K14" s="25">
        <v>42960498</v>
      </c>
      <c r="L14" s="27"/>
      <c r="M14" s="25">
        <v>2300000</v>
      </c>
      <c r="N14" s="14"/>
      <c r="O14" s="14">
        <f>+M14-K14</f>
        <v>-40660498</v>
      </c>
      <c r="P14" s="14"/>
    </row>
    <row r="15" spans="1:17" s="16" customFormat="1" ht="14.1" customHeight="1">
      <c r="A15"/>
      <c r="B15" t="s">
        <v>73</v>
      </c>
      <c r="C15"/>
      <c r="D15"/>
      <c r="E15"/>
      <c r="F15"/>
      <c r="G15"/>
      <c r="H15"/>
      <c r="I15" s="24"/>
      <c r="J15" s="1"/>
      <c r="K15" s="33">
        <v>18497</v>
      </c>
      <c r="L15" s="117"/>
      <c r="M15" s="25">
        <v>512</v>
      </c>
      <c r="N15" s="14"/>
      <c r="O15" s="14">
        <f>+M15-K15</f>
        <v>-17985</v>
      </c>
    </row>
    <row r="16" spans="1:17" s="16" customFormat="1" ht="14.1" customHeight="1">
      <c r="A16"/>
      <c r="B16" t="s">
        <v>95</v>
      </c>
      <c r="C16"/>
      <c r="D16"/>
      <c r="E16"/>
      <c r="F16"/>
      <c r="G16"/>
      <c r="H16"/>
      <c r="I16" s="24">
        <v>13</v>
      </c>
      <c r="J16" s="1"/>
      <c r="K16" s="33">
        <v>75720167702</v>
      </c>
      <c r="L16" s="117"/>
      <c r="M16" s="25">
        <v>382766048</v>
      </c>
      <c r="N16" s="14"/>
      <c r="O16" s="14">
        <f>+M16-K16</f>
        <v>-75337401654</v>
      </c>
    </row>
    <row r="17" spans="1:17" s="16" customFormat="1" ht="14.1" customHeight="1">
      <c r="A17"/>
      <c r="B17" t="s">
        <v>11</v>
      </c>
      <c r="C17"/>
      <c r="D17"/>
      <c r="E17"/>
      <c r="F17"/>
      <c r="G17"/>
      <c r="H17"/>
      <c r="I17" s="24">
        <v>14</v>
      </c>
      <c r="J17" s="1"/>
      <c r="K17" s="33">
        <v>2665633765</v>
      </c>
      <c r="L17" s="117"/>
      <c r="M17" s="25">
        <v>21475339</v>
      </c>
      <c r="N17" s="14"/>
      <c r="O17" s="14">
        <f>+M17-K17</f>
        <v>-2644158426</v>
      </c>
    </row>
    <row r="18" spans="1:17" s="16" customFormat="1" ht="14.1" customHeight="1">
      <c r="A18"/>
      <c r="B18" t="s">
        <v>33</v>
      </c>
      <c r="C18"/>
      <c r="D18"/>
      <c r="E18"/>
      <c r="F18"/>
      <c r="G18"/>
      <c r="H18"/>
      <c r="I18" s="24">
        <v>15</v>
      </c>
      <c r="J18" s="1"/>
      <c r="K18" s="33">
        <v>806505729</v>
      </c>
      <c r="L18" s="117"/>
      <c r="M18" s="25">
        <v>1640068</v>
      </c>
      <c r="N18" s="14"/>
      <c r="O18" s="14">
        <f>+M18-K18</f>
        <v>-804865661</v>
      </c>
    </row>
    <row r="19" spans="1:17" s="16" customFormat="1" ht="20.100000000000001" customHeight="1">
      <c r="A19"/>
      <c r="B19"/>
      <c r="C19"/>
      <c r="D19"/>
      <c r="E19"/>
      <c r="F19"/>
      <c r="G19" t="s">
        <v>12</v>
      </c>
      <c r="H19"/>
      <c r="I19" s="24"/>
      <c r="J19" s="1"/>
      <c r="K19" s="40">
        <f>SUM(K14:K18)</f>
        <v>79235286191</v>
      </c>
      <c r="L19" s="117"/>
      <c r="M19" s="29">
        <f>SUM(M14:M18)</f>
        <v>408181967</v>
      </c>
      <c r="N19" s="14"/>
    </row>
    <row r="20" spans="1:17" s="16" customFormat="1" ht="20.100000000000001" customHeight="1" thickBot="1">
      <c r="A20"/>
      <c r="B20"/>
      <c r="C20"/>
      <c r="D20"/>
      <c r="E20"/>
      <c r="F20"/>
      <c r="G20" t="s">
        <v>6</v>
      </c>
      <c r="H20"/>
      <c r="I20" s="24"/>
      <c r="J20" s="1"/>
      <c r="K20" s="28">
        <f>K12+K19</f>
        <v>81815046875</v>
      </c>
      <c r="L20" s="27"/>
      <c r="M20" s="28">
        <f>M12+M19</f>
        <v>471842377</v>
      </c>
      <c r="N20" s="14"/>
      <c r="O20" s="14"/>
      <c r="P20" s="14"/>
      <c r="Q20" s="14"/>
    </row>
    <row r="21" spans="1:17" ht="19.5" customHeight="1" thickTop="1">
      <c r="A21" s="22" t="s">
        <v>2</v>
      </c>
      <c r="B21" s="22"/>
      <c r="C21" s="22"/>
      <c r="D21" s="22"/>
      <c r="E21" s="22"/>
      <c r="F21" s="22"/>
      <c r="G21" s="22"/>
      <c r="H21" s="22"/>
      <c r="I21" s="24"/>
      <c r="J21" s="9"/>
      <c r="K21" s="25"/>
      <c r="L21" s="27"/>
      <c r="M21" s="25"/>
      <c r="O21" s="14"/>
      <c r="P21" s="14"/>
    </row>
    <row r="22" spans="1:17" ht="20.100000000000001" customHeight="1">
      <c r="A22" t="s">
        <v>13</v>
      </c>
      <c r="B22"/>
      <c r="C22"/>
      <c r="D22"/>
      <c r="E22"/>
      <c r="F22"/>
      <c r="G22"/>
      <c r="H22"/>
      <c r="I22" s="24"/>
      <c r="K22" s="25"/>
      <c r="L22" s="27"/>
      <c r="M22" s="25"/>
      <c r="O22" s="14"/>
      <c r="P22" s="14"/>
      <c r="Q22" s="3"/>
    </row>
    <row r="23" spans="1:17" ht="14.1" customHeight="1">
      <c r="A23"/>
      <c r="B23" t="s">
        <v>81</v>
      </c>
      <c r="C23"/>
      <c r="D23"/>
      <c r="E23"/>
      <c r="F23"/>
      <c r="G23"/>
      <c r="H23"/>
      <c r="I23" s="24">
        <v>16</v>
      </c>
      <c r="K23" s="33">
        <v>400712920</v>
      </c>
      <c r="L23" s="117"/>
      <c r="M23" s="25">
        <v>8695588</v>
      </c>
      <c r="O23" s="14">
        <f t="shared" ref="O23:O29" si="0">+K23-M23</f>
        <v>392017332</v>
      </c>
      <c r="P23" s="14"/>
      <c r="Q23" s="3"/>
    </row>
    <row r="24" spans="1:17" ht="14.1" customHeight="1">
      <c r="A24"/>
      <c r="B24" t="s">
        <v>7</v>
      </c>
      <c r="C24"/>
      <c r="D24"/>
      <c r="E24"/>
      <c r="F24"/>
      <c r="G24"/>
      <c r="H24"/>
      <c r="I24" s="24">
        <v>19</v>
      </c>
      <c r="J24" s="18"/>
      <c r="K24" s="33">
        <v>102222</v>
      </c>
      <c r="L24" s="117"/>
      <c r="M24" s="25">
        <v>0</v>
      </c>
      <c r="O24" s="14">
        <f t="shared" si="0"/>
        <v>102222</v>
      </c>
      <c r="P24" s="14"/>
      <c r="Q24" s="3"/>
    </row>
    <row r="25" spans="1:17" ht="14.1" customHeight="1">
      <c r="A25"/>
      <c r="B25" t="s">
        <v>82</v>
      </c>
      <c r="C25"/>
      <c r="D25"/>
      <c r="E25"/>
      <c r="F25"/>
      <c r="G25"/>
      <c r="H25"/>
      <c r="I25" s="24">
        <v>17</v>
      </c>
      <c r="K25" s="25">
        <v>2366039509</v>
      </c>
      <c r="L25" s="27"/>
      <c r="M25" s="25">
        <v>35292374</v>
      </c>
      <c r="O25" s="14">
        <f t="shared" si="0"/>
        <v>2330747135</v>
      </c>
      <c r="P25" s="14"/>
      <c r="Q25" s="3"/>
    </row>
    <row r="26" spans="1:17" ht="14.1" customHeight="1">
      <c r="A26"/>
      <c r="B26" t="s">
        <v>14</v>
      </c>
      <c r="C26"/>
      <c r="D26"/>
      <c r="E26"/>
      <c r="F26"/>
      <c r="G26"/>
      <c r="H26"/>
      <c r="I26" s="24">
        <v>18</v>
      </c>
      <c r="K26" s="25">
        <v>89049</v>
      </c>
      <c r="L26" s="27"/>
      <c r="M26" s="25">
        <v>32898</v>
      </c>
      <c r="O26" s="14">
        <f t="shared" si="0"/>
        <v>56151</v>
      </c>
      <c r="Q26" s="3"/>
    </row>
    <row r="27" spans="1:17" ht="14.1" customHeight="1">
      <c r="A27"/>
      <c r="B27" t="s">
        <v>49</v>
      </c>
      <c r="C27"/>
      <c r="D27"/>
      <c r="E27"/>
      <c r="F27"/>
      <c r="G27"/>
      <c r="H27"/>
      <c r="I27" s="24" t="s">
        <v>83</v>
      </c>
      <c r="K27" s="25">
        <v>40911364</v>
      </c>
      <c r="L27" s="27"/>
      <c r="M27" s="25">
        <v>2625242</v>
      </c>
      <c r="O27" s="14">
        <f t="shared" si="0"/>
        <v>38286122</v>
      </c>
      <c r="Q27" s="3"/>
    </row>
    <row r="28" spans="1:17" ht="14.1" customHeight="1">
      <c r="A28"/>
      <c r="B28" t="s">
        <v>39</v>
      </c>
      <c r="C28"/>
      <c r="D28"/>
      <c r="E28"/>
      <c r="F28"/>
      <c r="G28"/>
      <c r="H28"/>
      <c r="I28" s="24">
        <v>20</v>
      </c>
      <c r="K28" s="25">
        <v>600823215</v>
      </c>
      <c r="L28" s="27"/>
      <c r="M28" s="25">
        <v>7000772</v>
      </c>
      <c r="O28" s="14">
        <f t="shared" si="0"/>
        <v>593822443</v>
      </c>
      <c r="P28" s="3"/>
      <c r="Q28" s="3"/>
    </row>
    <row r="29" spans="1:17" ht="14.1" customHeight="1">
      <c r="A29"/>
      <c r="B29" t="s">
        <v>59</v>
      </c>
      <c r="C29"/>
      <c r="D29"/>
      <c r="E29"/>
      <c r="F29"/>
      <c r="G29"/>
      <c r="H29"/>
      <c r="I29" s="24">
        <v>22</v>
      </c>
      <c r="K29" s="25">
        <v>45491735</v>
      </c>
      <c r="L29" s="27"/>
      <c r="M29" s="25">
        <v>2520130</v>
      </c>
      <c r="N29" s="14">
        <v>949430330.66999996</v>
      </c>
      <c r="O29" s="14">
        <f t="shared" si="0"/>
        <v>42971605</v>
      </c>
      <c r="P29" s="3"/>
      <c r="Q29" s="3"/>
    </row>
    <row r="30" spans="1:17" ht="20.100000000000001" customHeight="1">
      <c r="A30"/>
      <c r="B30"/>
      <c r="C30"/>
      <c r="D30"/>
      <c r="E30"/>
      <c r="F30"/>
      <c r="G30" t="s">
        <v>15</v>
      </c>
      <c r="H30"/>
      <c r="I30" s="24"/>
      <c r="K30" s="29">
        <f>SUM(K23:K29)</f>
        <v>3454170014</v>
      </c>
      <c r="L30" s="27"/>
      <c r="M30" s="29">
        <f>SUM(M23:M29)</f>
        <v>56167004</v>
      </c>
      <c r="O30" s="3"/>
      <c r="Q30" s="3"/>
    </row>
    <row r="31" spans="1:17" ht="20.100000000000001" customHeight="1">
      <c r="A31" t="s">
        <v>27</v>
      </c>
      <c r="B31"/>
      <c r="C31"/>
      <c r="D31"/>
      <c r="E31"/>
      <c r="F31"/>
      <c r="G31"/>
      <c r="H31"/>
      <c r="I31" s="24"/>
      <c r="K31" s="25"/>
      <c r="L31" s="27"/>
      <c r="M31" s="25"/>
      <c r="Q31" s="3"/>
    </row>
    <row r="32" spans="1:17" ht="14.1" customHeight="1">
      <c r="A32"/>
      <c r="B32" t="s">
        <v>81</v>
      </c>
      <c r="C32"/>
      <c r="D32"/>
      <c r="E32"/>
      <c r="F32"/>
      <c r="G32"/>
      <c r="H32"/>
      <c r="I32" s="24">
        <v>16</v>
      </c>
      <c r="K32" s="33">
        <v>325894109</v>
      </c>
      <c r="L32" s="117"/>
      <c r="M32" s="25">
        <v>4284726</v>
      </c>
      <c r="O32" s="14">
        <f t="shared" ref="O32:O37" si="1">+K32-M32</f>
        <v>321609383</v>
      </c>
      <c r="Q32" s="3"/>
    </row>
    <row r="33" spans="1:17" ht="14.1" customHeight="1">
      <c r="A33"/>
      <c r="B33" t="s">
        <v>7</v>
      </c>
      <c r="C33"/>
      <c r="D33"/>
      <c r="E33"/>
      <c r="F33"/>
      <c r="G33"/>
      <c r="H33"/>
      <c r="I33" s="24">
        <v>19</v>
      </c>
      <c r="K33" s="33">
        <v>4912865</v>
      </c>
      <c r="L33" s="117"/>
      <c r="M33" s="25">
        <v>1954035</v>
      </c>
      <c r="O33" s="14">
        <f t="shared" si="1"/>
        <v>2958830</v>
      </c>
      <c r="Q33" s="3"/>
    </row>
    <row r="34" spans="1:17" ht="14.1" customHeight="1">
      <c r="A34"/>
      <c r="B34" t="s">
        <v>54</v>
      </c>
      <c r="C34"/>
      <c r="D34"/>
      <c r="E34"/>
      <c r="F34"/>
      <c r="G34"/>
      <c r="H34"/>
      <c r="I34" s="24" t="s">
        <v>85</v>
      </c>
      <c r="K34" s="25">
        <v>26271550159</v>
      </c>
      <c r="L34" s="27"/>
      <c r="M34" s="25">
        <v>132668117</v>
      </c>
      <c r="O34" s="14">
        <f t="shared" si="1"/>
        <v>26138882042</v>
      </c>
      <c r="Q34" s="3"/>
    </row>
    <row r="35" spans="1:17" ht="14.1" customHeight="1">
      <c r="A35"/>
      <c r="B35" t="s">
        <v>16</v>
      </c>
      <c r="C35"/>
      <c r="D35"/>
      <c r="E35"/>
      <c r="F35"/>
      <c r="G35"/>
      <c r="H35"/>
      <c r="I35" s="24">
        <v>31</v>
      </c>
      <c r="K35" s="25">
        <v>200</v>
      </c>
      <c r="L35" s="27"/>
      <c r="M35" s="25">
        <v>221</v>
      </c>
      <c r="O35" s="14">
        <f t="shared" si="1"/>
        <v>-21</v>
      </c>
      <c r="Q35" s="3"/>
    </row>
    <row r="36" spans="1:17" ht="14.1" customHeight="1">
      <c r="A36"/>
      <c r="B36" t="s">
        <v>59</v>
      </c>
      <c r="C36"/>
      <c r="D36"/>
      <c r="E36"/>
      <c r="F36"/>
      <c r="G36"/>
      <c r="H36"/>
      <c r="I36" s="24">
        <v>22</v>
      </c>
      <c r="K36" s="25">
        <v>17106711</v>
      </c>
      <c r="L36" s="27"/>
      <c r="M36" s="25">
        <v>1544802</v>
      </c>
      <c r="N36" s="14">
        <v>-949430330.66999996</v>
      </c>
      <c r="O36" s="14">
        <f t="shared" si="1"/>
        <v>15561909</v>
      </c>
    </row>
    <row r="37" spans="1:17" ht="14.1" customHeight="1">
      <c r="A37"/>
      <c r="B37" t="s">
        <v>5</v>
      </c>
      <c r="C37"/>
      <c r="D37"/>
      <c r="E37"/>
      <c r="F37"/>
      <c r="G37"/>
      <c r="H37"/>
      <c r="I37" s="24"/>
      <c r="K37" s="25">
        <v>54350</v>
      </c>
      <c r="L37" s="27"/>
      <c r="M37" s="25">
        <v>1704</v>
      </c>
      <c r="O37" s="14">
        <f t="shared" si="1"/>
        <v>52646</v>
      </c>
    </row>
    <row r="38" spans="1:17" ht="20.100000000000001" customHeight="1">
      <c r="A38"/>
      <c r="B38"/>
      <c r="C38"/>
      <c r="D38"/>
      <c r="E38"/>
      <c r="F38"/>
      <c r="G38" t="s">
        <v>17</v>
      </c>
      <c r="H38"/>
      <c r="I38" s="24"/>
      <c r="K38" s="29">
        <f>SUM(K32:K37)</f>
        <v>26619518394</v>
      </c>
      <c r="L38" s="27"/>
      <c r="M38" s="29">
        <f>SUM(M32:M37)</f>
        <v>140453605</v>
      </c>
    </row>
    <row r="39" spans="1:17" ht="20.100000000000001" customHeight="1">
      <c r="A39"/>
      <c r="B39"/>
      <c r="C39"/>
      <c r="D39"/>
      <c r="E39"/>
      <c r="F39"/>
      <c r="G39" t="s">
        <v>3</v>
      </c>
      <c r="H39"/>
      <c r="I39" s="24"/>
      <c r="K39" s="29">
        <f>K30+K38</f>
        <v>30073688408</v>
      </c>
      <c r="L39" s="27"/>
      <c r="M39" s="29">
        <f>M30+M38</f>
        <v>196620609</v>
      </c>
      <c r="O39" s="3"/>
    </row>
    <row r="40" spans="1:17" ht="20.100000000000001" customHeight="1">
      <c r="A40" t="s">
        <v>18</v>
      </c>
      <c r="B40"/>
      <c r="C40"/>
      <c r="D40"/>
      <c r="E40"/>
      <c r="F40"/>
      <c r="G40"/>
      <c r="H40"/>
      <c r="I40" s="24"/>
      <c r="K40" s="25"/>
      <c r="L40" s="27"/>
      <c r="M40" s="25"/>
      <c r="O40" s="3"/>
    </row>
    <row r="41" spans="1:17" ht="14.1" customHeight="1">
      <c r="A41"/>
      <c r="B41" t="s">
        <v>32</v>
      </c>
      <c r="C41"/>
      <c r="D41"/>
      <c r="E41"/>
      <c r="F41"/>
      <c r="G41"/>
      <c r="H41"/>
      <c r="I41" s="24" t="s">
        <v>89</v>
      </c>
      <c r="K41" s="25" t="e">
        <f>+#REF!</f>
        <v>#REF!</v>
      </c>
      <c r="L41" s="27"/>
      <c r="M41" s="25" t="e">
        <f>+#REF!</f>
        <v>#REF!</v>
      </c>
      <c r="O41" s="14" t="e">
        <f t="shared" ref="O41:O47" si="2">+K41-M41</f>
        <v>#REF!</v>
      </c>
    </row>
    <row r="42" spans="1:17" ht="14.1" customHeight="1">
      <c r="A42"/>
      <c r="B42" t="s">
        <v>19</v>
      </c>
      <c r="C42"/>
      <c r="D42"/>
      <c r="E42"/>
      <c r="F42"/>
      <c r="G42"/>
      <c r="H42"/>
      <c r="I42" s="24" t="s">
        <v>98</v>
      </c>
      <c r="K42" s="25" t="e">
        <f>+#REF!</f>
        <v>#REF!</v>
      </c>
      <c r="L42" s="27"/>
      <c r="M42" s="25" t="e">
        <f>+#REF!</f>
        <v>#REF!</v>
      </c>
      <c r="O42" s="14" t="e">
        <f t="shared" si="2"/>
        <v>#REF!</v>
      </c>
    </row>
    <row r="43" spans="1:17" ht="14.1" customHeight="1">
      <c r="A43"/>
      <c r="B43" t="s">
        <v>20</v>
      </c>
      <c r="C43"/>
      <c r="D43"/>
      <c r="E43"/>
      <c r="F43"/>
      <c r="G43"/>
      <c r="H43"/>
      <c r="I43" s="24" t="s">
        <v>96</v>
      </c>
      <c r="K43" s="25" t="e">
        <f>+#REF!</f>
        <v>#REF!</v>
      </c>
      <c r="L43" s="27"/>
      <c r="M43" s="25" t="e">
        <f>+#REF!</f>
        <v>#REF!</v>
      </c>
      <c r="O43" s="14" t="e">
        <f t="shared" si="2"/>
        <v>#REF!</v>
      </c>
    </row>
    <row r="44" spans="1:17" ht="14.1" customHeight="1">
      <c r="A44"/>
      <c r="B44" t="s">
        <v>40</v>
      </c>
      <c r="C44"/>
      <c r="D44"/>
      <c r="E44"/>
      <c r="F44"/>
      <c r="G44"/>
      <c r="H44"/>
      <c r="I44" s="24" t="s">
        <v>97</v>
      </c>
      <c r="K44" s="25" t="e">
        <f>+#REF!+#REF!+#REF!+#REF!+#REF!</f>
        <v>#REF!</v>
      </c>
      <c r="L44" s="27"/>
      <c r="M44" s="25" t="e">
        <f>+#REF!+#REF!+#REF!+#REF!</f>
        <v>#REF!</v>
      </c>
      <c r="O44" s="14" t="e">
        <f t="shared" si="2"/>
        <v>#REF!</v>
      </c>
    </row>
    <row r="45" spans="1:17" ht="17.100000000000001" customHeight="1">
      <c r="A45"/>
      <c r="B45" t="s">
        <v>28</v>
      </c>
      <c r="C45"/>
      <c r="D45"/>
      <c r="E45"/>
      <c r="F45"/>
      <c r="G45"/>
      <c r="H45"/>
      <c r="K45" s="25"/>
      <c r="L45" s="27"/>
      <c r="M45" s="25"/>
      <c r="O45" s="14">
        <f t="shared" si="2"/>
        <v>0</v>
      </c>
    </row>
    <row r="46" spans="1:17" ht="14.1" customHeight="1">
      <c r="A46"/>
      <c r="B46"/>
      <c r="C46" t="s">
        <v>21</v>
      </c>
      <c r="D46"/>
      <c r="E46"/>
      <c r="F46"/>
      <c r="G46"/>
      <c r="H46"/>
      <c r="I46" s="24" t="s">
        <v>90</v>
      </c>
      <c r="K46" s="25" t="e">
        <f>+#REF!</f>
        <v>#REF!</v>
      </c>
      <c r="L46" s="27"/>
      <c r="M46" s="25" t="e">
        <f>+#REF!</f>
        <v>#REF!</v>
      </c>
      <c r="O46" s="14" t="e">
        <f t="shared" si="2"/>
        <v>#REF!</v>
      </c>
    </row>
    <row r="47" spans="1:17" ht="14.1" customHeight="1">
      <c r="A47"/>
      <c r="B47"/>
      <c r="C47" t="s">
        <v>22</v>
      </c>
      <c r="D47"/>
      <c r="E47"/>
      <c r="F47"/>
      <c r="G47"/>
      <c r="H47"/>
      <c r="I47" s="24" t="s">
        <v>91</v>
      </c>
      <c r="K47" s="25" t="e">
        <f>+#REF!</f>
        <v>#REF!</v>
      </c>
      <c r="L47" s="27"/>
      <c r="M47" s="25" t="e">
        <f>+#REF!</f>
        <v>#REF!</v>
      </c>
      <c r="O47" s="14" t="e">
        <f t="shared" si="2"/>
        <v>#REF!</v>
      </c>
    </row>
    <row r="48" spans="1:17" ht="20.100000000000001" customHeight="1">
      <c r="A48"/>
      <c r="B48"/>
      <c r="C48"/>
      <c r="D48"/>
      <c r="E48"/>
      <c r="F48"/>
      <c r="G48" t="s">
        <v>29</v>
      </c>
      <c r="H48"/>
      <c r="I48" s="24"/>
      <c r="K48" s="29" t="e">
        <f>+K46+K47</f>
        <v>#REF!</v>
      </c>
      <c r="L48" s="27"/>
      <c r="M48" s="29" t="e">
        <f>+M46+M47</f>
        <v>#REF!</v>
      </c>
    </row>
    <row r="49" spans="1:15" ht="20.100000000000001" customHeight="1">
      <c r="A49"/>
      <c r="B49"/>
      <c r="C49"/>
      <c r="D49"/>
      <c r="E49"/>
      <c r="F49"/>
      <c r="G49" t="s">
        <v>23</v>
      </c>
      <c r="H49"/>
      <c r="I49" s="24"/>
      <c r="K49" s="29" t="e">
        <f>K48+K41+K42+K43+K44</f>
        <v>#REF!</v>
      </c>
      <c r="L49" s="27"/>
      <c r="M49" s="29" t="e">
        <f>M48+M41+M42+M43+M44</f>
        <v>#REF!</v>
      </c>
      <c r="N49" s="14" t="e">
        <f>+#REF!</f>
        <v>#REF!</v>
      </c>
      <c r="O49" s="3"/>
    </row>
    <row r="50" spans="1:15" ht="20.100000000000001" customHeight="1">
      <c r="A50"/>
      <c r="B50" t="s">
        <v>26</v>
      </c>
      <c r="C50"/>
      <c r="D50"/>
      <c r="E50"/>
      <c r="F50"/>
      <c r="G50"/>
      <c r="H50"/>
      <c r="I50" s="24"/>
      <c r="K50" s="29" t="e">
        <f>+#REF!</f>
        <v>#REF!</v>
      </c>
      <c r="L50" s="27"/>
      <c r="M50" s="29" t="e">
        <f>+#REF!</f>
        <v>#REF!</v>
      </c>
      <c r="O50" s="14" t="e">
        <f>+K50-M50</f>
        <v>#REF!</v>
      </c>
    </row>
    <row r="51" spans="1:15" ht="20.100000000000001" customHeight="1">
      <c r="A51"/>
      <c r="B51"/>
      <c r="C51"/>
      <c r="D51"/>
      <c r="E51"/>
      <c r="F51"/>
      <c r="G51" t="s">
        <v>24</v>
      </c>
      <c r="H51"/>
      <c r="I51" s="24"/>
      <c r="K51" s="29" t="e">
        <f>+K49+K50</f>
        <v>#REF!</v>
      </c>
      <c r="L51" s="27"/>
      <c r="M51" s="29" t="e">
        <f>+M49+M50</f>
        <v>#REF!</v>
      </c>
      <c r="O51" s="3"/>
    </row>
    <row r="52" spans="1:15" ht="20.100000000000001" customHeight="1" thickBot="1">
      <c r="A52"/>
      <c r="B52"/>
      <c r="C52"/>
      <c r="D52"/>
      <c r="E52"/>
      <c r="F52"/>
      <c r="G52" t="s">
        <v>4</v>
      </c>
      <c r="H52"/>
      <c r="I52" s="24"/>
      <c r="K52" s="28" t="e">
        <f>K51+K39</f>
        <v>#REF!</v>
      </c>
      <c r="L52" s="27"/>
      <c r="M52" s="28" t="e">
        <f>M51+M39</f>
        <v>#REF!</v>
      </c>
    </row>
    <row r="53" spans="1:15" ht="39" customHeight="1" thickTop="1">
      <c r="A53" t="s">
        <v>86</v>
      </c>
      <c r="B53"/>
      <c r="C53"/>
      <c r="D53"/>
      <c r="E53"/>
      <c r="F53"/>
      <c r="G53"/>
      <c r="H53"/>
      <c r="K53" s="10"/>
      <c r="L53" s="21"/>
      <c r="M53" s="17"/>
    </row>
    <row r="54" spans="1:15" ht="12.9" customHeight="1">
      <c r="K54" s="20" t="e">
        <f>+K52-K20</f>
        <v>#REF!</v>
      </c>
      <c r="L54" s="21"/>
      <c r="M54" s="20" t="e">
        <f>+M52-M20</f>
        <v>#REF!</v>
      </c>
      <c r="O54" s="3" t="e">
        <f>SUM(O8:O52)</f>
        <v>#REF!</v>
      </c>
    </row>
    <row r="55" spans="1:15" ht="12.9" customHeight="1">
      <c r="L55" s="19"/>
    </row>
    <row r="56" spans="1:15" ht="12.9" customHeight="1">
      <c r="L56" s="19"/>
    </row>
    <row r="57" spans="1:15" ht="12.9" customHeight="1">
      <c r="L57" s="19"/>
    </row>
    <row r="58" spans="1:15" ht="12.9" customHeight="1">
      <c r="L58" s="19"/>
    </row>
    <row r="59" spans="1:15" ht="12.9" customHeight="1">
      <c r="L59" s="19"/>
    </row>
    <row r="60" spans="1:15" ht="12.9" customHeight="1">
      <c r="L60" s="19"/>
    </row>
    <row r="61" spans="1:15" ht="12.9" customHeight="1">
      <c r="L61" s="19"/>
    </row>
    <row r="62" spans="1:15" ht="12.9" customHeight="1">
      <c r="L62" s="19"/>
    </row>
    <row r="63" spans="1:15" ht="12.9" customHeight="1">
      <c r="L63" s="19"/>
    </row>
    <row r="64" spans="1:15" ht="12.9" customHeight="1">
      <c r="L64" s="19"/>
    </row>
    <row r="65" spans="12:12" ht="12.9" customHeight="1">
      <c r="L65" s="19"/>
    </row>
    <row r="66" spans="12:12" ht="12.9" customHeight="1">
      <c r="L66" s="19"/>
    </row>
  </sheetData>
  <mergeCells count="4">
    <mergeCell ref="A1:O1"/>
    <mergeCell ref="A2:O2"/>
    <mergeCell ref="A3:O3"/>
    <mergeCell ref="A4:O4"/>
  </mergeCells>
  <pageMargins left="0.74803149606299213" right="0.74803149606299213" top="0.51181102362204722" bottom="0.74803149606299213" header="0" footer="0.43307086614173229"/>
  <pageSetup scale="75" firstPageNumber="3" orientation="portrait" blackAndWhite="1" useFirstPageNumber="1" r:id="rId1"/>
  <headerFooter>
    <oddFooter>&amp;R&amp;P</oddFooter>
  </headerFooter>
  <customProperties>
    <customPr name="KSheetIndex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4"/>
  <sheetViews>
    <sheetView zoomScaleNormal="100" zoomScaleSheetLayoutView="100" workbookViewId="0">
      <selection activeCell="A4" sqref="A4:M4"/>
    </sheetView>
  </sheetViews>
  <sheetFormatPr baseColWidth="10" defaultColWidth="11.44140625" defaultRowHeight="14.1" customHeight="1"/>
  <cols>
    <col min="1" max="7" width="2.109375" style="9" customWidth="1"/>
    <col min="8" max="8" width="55.5546875" style="9" customWidth="1"/>
    <col min="9" max="9" width="5.88671875" style="9" customWidth="1"/>
    <col min="10" max="10" width="2.44140625" style="9" customWidth="1"/>
    <col min="11" max="11" width="15.6640625" style="9" customWidth="1"/>
    <col min="12" max="12" width="2.44140625" style="9" customWidth="1"/>
    <col min="13" max="13" width="14.6640625" style="9" customWidth="1"/>
    <col min="14" max="15" width="18.5546875" style="12" bestFit="1" customWidth="1"/>
    <col min="16" max="16" width="12.44140625" style="12" bestFit="1" customWidth="1"/>
    <col min="17" max="17" width="11.88671875" style="12" bestFit="1" customWidth="1"/>
    <col min="18" max="16384" width="11.44140625" style="12"/>
  </cols>
  <sheetData>
    <row r="1" spans="1:15" s="6" customFormat="1" ht="12" customHeight="1">
      <c r="A1" s="119" t="str">
        <f>ESF!A1</f>
        <v>CORIMON, C. A. Y SUBSIDIARIAS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5" s="6" customFormat="1" ht="12" customHeight="1">
      <c r="A2" s="120" t="s">
        <v>93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s="6" customFormat="1" ht="12" customHeight="1">
      <c r="A3" s="120" t="s">
        <v>78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s="6" customFormat="1" ht="12" customHeight="1">
      <c r="A4" s="121" t="s">
        <v>72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5" s="6" customFormat="1" ht="26.1" customHeight="1">
      <c r="A5" s="5"/>
      <c r="B5" s="1"/>
      <c r="C5" s="1"/>
      <c r="D5" s="1"/>
      <c r="E5" s="1"/>
      <c r="F5" s="1"/>
      <c r="G5" s="1"/>
      <c r="H5" s="1"/>
      <c r="I5" s="23" t="s">
        <v>34</v>
      </c>
      <c r="J5" s="2"/>
      <c r="K5" s="23">
        <v>2018</v>
      </c>
      <c r="L5" s="2"/>
      <c r="M5" s="23">
        <v>2017</v>
      </c>
    </row>
    <row r="6" spans="1:15" s="6" customFormat="1" ht="20.100000000000001" customHeight="1">
      <c r="A6" t="s">
        <v>44</v>
      </c>
      <c r="B6"/>
      <c r="C6"/>
      <c r="D6"/>
      <c r="E6"/>
      <c r="F6"/>
      <c r="G6"/>
      <c r="H6"/>
      <c r="I6" s="24">
        <v>25</v>
      </c>
      <c r="J6" s="1"/>
      <c r="K6" s="25">
        <v>2000113095</v>
      </c>
      <c r="L6" s="25"/>
      <c r="M6" s="25">
        <v>79360000</v>
      </c>
      <c r="N6" s="34"/>
      <c r="O6" s="35"/>
    </row>
    <row r="7" spans="1:15" ht="14.1" customHeight="1">
      <c r="A7" t="s">
        <v>35</v>
      </c>
      <c r="B7"/>
      <c r="C7"/>
      <c r="D7"/>
      <c r="E7"/>
      <c r="F7"/>
      <c r="G7"/>
      <c r="H7"/>
      <c r="I7" s="24">
        <v>26</v>
      </c>
      <c r="K7" s="25">
        <v>732991719</v>
      </c>
      <c r="L7" s="25"/>
      <c r="M7" s="25">
        <v>48788932</v>
      </c>
    </row>
    <row r="8" spans="1:15" ht="20.100000000000001" customHeight="1">
      <c r="A8"/>
      <c r="B8"/>
      <c r="C8"/>
      <c r="D8"/>
      <c r="E8"/>
      <c r="F8"/>
      <c r="G8" t="s">
        <v>45</v>
      </c>
      <c r="H8"/>
      <c r="I8" s="24"/>
      <c r="K8" s="30">
        <f>K6-K7</f>
        <v>1267121376</v>
      </c>
      <c r="L8" s="25"/>
      <c r="M8" s="30">
        <f>M6-M7</f>
        <v>30571068</v>
      </c>
    </row>
    <row r="9" spans="1:15" ht="16.2" customHeight="1">
      <c r="A9" t="s">
        <v>67</v>
      </c>
      <c r="B9"/>
      <c r="C9"/>
      <c r="D9"/>
      <c r="E9"/>
      <c r="F9"/>
      <c r="G9"/>
      <c r="H9"/>
      <c r="I9" s="24"/>
      <c r="K9" s="25">
        <f>15965788+2189227</f>
        <v>18155015</v>
      </c>
      <c r="L9" s="25"/>
      <c r="M9" s="25">
        <v>3576</v>
      </c>
      <c r="N9" s="4"/>
    </row>
    <row r="10" spans="1:15" ht="13.8">
      <c r="A10" t="s">
        <v>43</v>
      </c>
      <c r="B10"/>
      <c r="C10"/>
      <c r="D10"/>
      <c r="E10"/>
      <c r="F10"/>
      <c r="G10"/>
      <c r="H10"/>
      <c r="I10" s="24">
        <v>26</v>
      </c>
      <c r="K10" s="25">
        <v>-225563214</v>
      </c>
      <c r="L10" s="25"/>
      <c r="M10" s="25">
        <v>-12073821</v>
      </c>
      <c r="O10" s="4"/>
    </row>
    <row r="11" spans="1:15" ht="13.8">
      <c r="A11" t="s">
        <v>65</v>
      </c>
      <c r="B11"/>
      <c r="C11"/>
      <c r="D11"/>
      <c r="E11"/>
      <c r="F11"/>
      <c r="G11"/>
      <c r="H11"/>
      <c r="I11" s="24">
        <v>14</v>
      </c>
      <c r="K11" s="33">
        <v>2527337686</v>
      </c>
      <c r="L11" s="25"/>
      <c r="M11" s="25">
        <f>--16360116</f>
        <v>16360116</v>
      </c>
    </row>
    <row r="12" spans="1:15" ht="13.8">
      <c r="A12" t="s">
        <v>66</v>
      </c>
      <c r="B12"/>
      <c r="C12"/>
      <c r="D12"/>
      <c r="E12"/>
      <c r="F12"/>
      <c r="G12"/>
      <c r="H12"/>
      <c r="I12" s="24"/>
      <c r="K12" s="33">
        <v>-2460</v>
      </c>
      <c r="L12" s="25"/>
      <c r="M12" s="25">
        <v>-987714</v>
      </c>
      <c r="N12" s="4"/>
    </row>
    <row r="13" spans="1:15" ht="20.100000000000001" customHeight="1">
      <c r="A13"/>
      <c r="B13"/>
      <c r="C13"/>
      <c r="D13"/>
      <c r="E13"/>
      <c r="F13"/>
      <c r="G13" t="s">
        <v>36</v>
      </c>
      <c r="H13"/>
      <c r="I13" s="24"/>
      <c r="K13" s="29">
        <f>SUM(K8:K12)</f>
        <v>3587048403</v>
      </c>
      <c r="L13" s="25"/>
      <c r="M13" s="29">
        <f>SUM(M8:M12)</f>
        <v>33873225</v>
      </c>
      <c r="N13" s="4"/>
    </row>
    <row r="14" spans="1:15" ht="20.100000000000001" customHeight="1">
      <c r="A14" t="s">
        <v>47</v>
      </c>
      <c r="B14"/>
      <c r="C14"/>
      <c r="D14"/>
      <c r="E14"/>
      <c r="F14"/>
      <c r="G14"/>
      <c r="H14"/>
      <c r="I14" s="24"/>
      <c r="K14" s="25"/>
      <c r="L14" s="25"/>
      <c r="M14" s="25"/>
    </row>
    <row r="15" spans="1:15" ht="14.1" customHeight="1">
      <c r="A15"/>
      <c r="B15" t="s">
        <v>74</v>
      </c>
      <c r="C15"/>
      <c r="D15"/>
      <c r="E15"/>
      <c r="F15"/>
      <c r="G15"/>
      <c r="H15"/>
      <c r="I15" s="24">
        <v>9</v>
      </c>
      <c r="K15" s="25">
        <v>20558</v>
      </c>
      <c r="L15" s="25"/>
      <c r="M15" s="25">
        <v>41920</v>
      </c>
      <c r="N15" s="4"/>
    </row>
    <row r="16" spans="1:15" ht="14.1" customHeight="1">
      <c r="A16"/>
      <c r="B16" t="s">
        <v>75</v>
      </c>
      <c r="C16"/>
      <c r="D16"/>
      <c r="E16"/>
      <c r="F16"/>
      <c r="G16"/>
      <c r="H16"/>
      <c r="I16" s="24" t="s">
        <v>87</v>
      </c>
      <c r="K16" s="25">
        <v>-29126329</v>
      </c>
      <c r="L16" s="25"/>
      <c r="M16" s="25">
        <v>-1882066</v>
      </c>
      <c r="N16" s="4"/>
    </row>
    <row r="17" spans="1:17" ht="14.1" customHeight="1">
      <c r="A17"/>
      <c r="B17" t="s">
        <v>46</v>
      </c>
      <c r="C17"/>
      <c r="D17"/>
      <c r="E17"/>
      <c r="F17"/>
      <c r="G17"/>
      <c r="H17"/>
      <c r="I17" s="24">
        <v>8</v>
      </c>
      <c r="K17" s="26">
        <v>-1141401949</v>
      </c>
      <c r="L17" s="25"/>
      <c r="M17" s="26">
        <v>-7592525</v>
      </c>
      <c r="N17" s="4"/>
    </row>
    <row r="18" spans="1:17" ht="20.100000000000001" customHeight="1">
      <c r="A18"/>
      <c r="B18"/>
      <c r="C18"/>
      <c r="D18"/>
      <c r="E18"/>
      <c r="F18"/>
      <c r="G18" t="s">
        <v>55</v>
      </c>
      <c r="H18"/>
      <c r="I18" s="24"/>
      <c r="K18" s="25">
        <f>SUM(K15:K17)</f>
        <v>-1170507720</v>
      </c>
      <c r="L18" s="25"/>
      <c r="M18" s="25">
        <f>SUM(M15:M17)</f>
        <v>-9432671</v>
      </c>
      <c r="N18" s="4"/>
      <c r="O18" s="4"/>
      <c r="P18" s="34"/>
    </row>
    <row r="19" spans="1:17" ht="20.100000000000001" customHeight="1">
      <c r="A19"/>
      <c r="B19"/>
      <c r="C19"/>
      <c r="D19"/>
      <c r="E19"/>
      <c r="F19"/>
      <c r="G19" t="s">
        <v>50</v>
      </c>
      <c r="H19"/>
      <c r="I19" s="24"/>
      <c r="K19" s="29">
        <f>+K13+K18</f>
        <v>2416540683</v>
      </c>
      <c r="L19" s="25"/>
      <c r="M19" s="29">
        <f>+M13+M18</f>
        <v>24440554</v>
      </c>
      <c r="P19" s="34"/>
    </row>
    <row r="20" spans="1:17" ht="20.100000000000001" customHeight="1">
      <c r="A20" t="s">
        <v>48</v>
      </c>
      <c r="B20"/>
      <c r="C20"/>
      <c r="D20"/>
      <c r="E20"/>
      <c r="F20"/>
      <c r="G20"/>
      <c r="H20"/>
      <c r="I20" s="24"/>
      <c r="K20" s="25"/>
      <c r="L20" s="25"/>
      <c r="M20" s="25"/>
    </row>
    <row r="21" spans="1:17" ht="14.1" customHeight="1">
      <c r="A21"/>
      <c r="B21" t="s">
        <v>37</v>
      </c>
      <c r="C21"/>
      <c r="D21"/>
      <c r="E21"/>
      <c r="F21"/>
      <c r="G21"/>
      <c r="H21"/>
      <c r="I21" s="24" t="s">
        <v>83</v>
      </c>
      <c r="K21" s="25">
        <v>-51168346</v>
      </c>
      <c r="L21" s="25"/>
      <c r="M21" s="25">
        <v>-2808701</v>
      </c>
    </row>
    <row r="22" spans="1:17" ht="14.1" customHeight="1">
      <c r="A22"/>
      <c r="B22" t="s">
        <v>38</v>
      </c>
      <c r="C22"/>
      <c r="D22"/>
      <c r="E22"/>
      <c r="F22"/>
      <c r="G22"/>
      <c r="H22"/>
      <c r="I22" s="24" t="s">
        <v>85</v>
      </c>
      <c r="K22" s="26">
        <f>-858444427-2189227</f>
        <v>-860633654</v>
      </c>
      <c r="L22" s="25"/>
      <c r="M22" s="26">
        <v>-5908644</v>
      </c>
    </row>
    <row r="23" spans="1:17" ht="20.100000000000001" customHeight="1">
      <c r="A23"/>
      <c r="B23"/>
      <c r="C23"/>
      <c r="D23"/>
      <c r="E23"/>
      <c r="F23"/>
      <c r="G23" t="s">
        <v>51</v>
      </c>
      <c r="H23"/>
      <c r="I23" s="24" t="s">
        <v>84</v>
      </c>
      <c r="K23" s="29">
        <f>SUM(K21:K22)</f>
        <v>-911802000</v>
      </c>
      <c r="L23" s="25"/>
      <c r="M23" s="29">
        <f>SUM(M21:M22)</f>
        <v>-8717345</v>
      </c>
    </row>
    <row r="24" spans="1:17" ht="20.100000000000001" customHeight="1">
      <c r="A24"/>
      <c r="B24"/>
      <c r="C24"/>
      <c r="D24"/>
      <c r="E24"/>
      <c r="F24"/>
      <c r="G24" t="s">
        <v>69</v>
      </c>
      <c r="H24"/>
      <c r="I24" s="37"/>
      <c r="K24" s="33">
        <f>K19+K23</f>
        <v>1504738683</v>
      </c>
      <c r="L24" s="33"/>
      <c r="M24" s="33">
        <f>M19+M23</f>
        <v>15723209</v>
      </c>
    </row>
    <row r="25" spans="1:17" ht="20.100000000000001" customHeight="1">
      <c r="A25" t="s">
        <v>26</v>
      </c>
      <c r="B25"/>
      <c r="C25"/>
      <c r="D25"/>
      <c r="E25"/>
      <c r="F25"/>
      <c r="G25"/>
      <c r="H25"/>
      <c r="I25" s="24"/>
      <c r="K25" s="27">
        <v>7689605</v>
      </c>
      <c r="L25" s="25"/>
      <c r="M25" s="27">
        <v>317122</v>
      </c>
    </row>
    <row r="26" spans="1:17" ht="20.100000000000001" customHeight="1" thickBot="1">
      <c r="A26"/>
      <c r="B26"/>
      <c r="C26"/>
      <c r="D26"/>
      <c r="E26"/>
      <c r="F26"/>
      <c r="G26" t="s">
        <v>68</v>
      </c>
      <c r="H26"/>
      <c r="I26" s="24"/>
      <c r="K26" s="28">
        <f>+K24+K25</f>
        <v>1512428288</v>
      </c>
      <c r="L26" s="25"/>
      <c r="M26" s="28">
        <f>+M24+M25</f>
        <v>16040331</v>
      </c>
      <c r="N26" s="36"/>
      <c r="O26" s="13"/>
    </row>
    <row r="27" spans="1:17" ht="20.100000000000001" customHeight="1" thickTop="1" thickBot="1">
      <c r="A27"/>
      <c r="B27"/>
      <c r="C27"/>
      <c r="D27"/>
      <c r="E27"/>
      <c r="F27"/>
      <c r="G27" t="s">
        <v>70</v>
      </c>
      <c r="H27"/>
      <c r="I27" s="24">
        <v>24</v>
      </c>
      <c r="K27" s="32">
        <v>1940.98</v>
      </c>
      <c r="L27" s="25"/>
      <c r="M27" s="32">
        <v>20.54</v>
      </c>
      <c r="N27" s="34"/>
      <c r="O27" s="34"/>
    </row>
    <row r="28" spans="1:17" ht="20.100000000000001" customHeight="1" thickTop="1">
      <c r="A28" t="s">
        <v>41</v>
      </c>
      <c r="B28"/>
      <c r="C28"/>
      <c r="D28"/>
      <c r="E28"/>
      <c r="F28"/>
      <c r="G28"/>
      <c r="H28"/>
      <c r="I28" s="12"/>
      <c r="K28" s="25"/>
      <c r="L28" s="25"/>
      <c r="M28" s="25"/>
      <c r="N28" s="35"/>
      <c r="O28" s="34"/>
    </row>
    <row r="29" spans="1:17" ht="14.1" customHeight="1">
      <c r="A29"/>
      <c r="B29" t="s">
        <v>63</v>
      </c>
      <c r="C29"/>
      <c r="D29"/>
      <c r="E29"/>
      <c r="F29"/>
      <c r="G29"/>
      <c r="H29"/>
      <c r="I29" s="24"/>
      <c r="K29" s="25"/>
      <c r="L29" s="25"/>
      <c r="M29" s="25"/>
    </row>
    <row r="30" spans="1:17" ht="14.1" customHeight="1">
      <c r="A30"/>
      <c r="B30"/>
      <c r="C30" t="s">
        <v>54</v>
      </c>
      <c r="D30"/>
      <c r="E30"/>
      <c r="F30"/>
      <c r="G30"/>
      <c r="H30"/>
      <c r="I30" s="24">
        <v>21</v>
      </c>
      <c r="K30" s="25" t="e">
        <f>+#REF!</f>
        <v>#REF!</v>
      </c>
      <c r="L30" s="25"/>
      <c r="M30" s="25" t="e">
        <f>+#REF!</f>
        <v>#REF!</v>
      </c>
      <c r="O30" s="4"/>
      <c r="Q30" s="4"/>
    </row>
    <row r="31" spans="1:17" ht="14.1" customHeight="1">
      <c r="A31"/>
      <c r="B31"/>
      <c r="C31" t="s">
        <v>71</v>
      </c>
      <c r="D31"/>
      <c r="E31"/>
      <c r="F31"/>
      <c r="G31"/>
      <c r="H31"/>
      <c r="I31" s="24">
        <v>14</v>
      </c>
      <c r="K31" s="25" t="e">
        <f>+#REF!</f>
        <v>#REF!</v>
      </c>
      <c r="L31" s="25"/>
      <c r="M31" s="25" t="e">
        <f>+#REF!</f>
        <v>#REF!</v>
      </c>
      <c r="O31" s="4"/>
      <c r="Q31" s="4"/>
    </row>
    <row r="32" spans="1:17" ht="14.1" customHeight="1">
      <c r="A32"/>
      <c r="B32"/>
      <c r="C32" t="s">
        <v>53</v>
      </c>
      <c r="D32"/>
      <c r="E32"/>
      <c r="F32"/>
      <c r="G32"/>
      <c r="H32"/>
      <c r="I32" s="24">
        <v>22</v>
      </c>
      <c r="J32" s="12"/>
      <c r="K32" s="25" t="e">
        <f>+#REF!</f>
        <v>#REF!</v>
      </c>
      <c r="L32" s="25"/>
      <c r="M32" s="25" t="e">
        <f>+#REF!</f>
        <v>#REF!</v>
      </c>
      <c r="O32" s="4"/>
      <c r="Q32" s="4"/>
    </row>
    <row r="33" spans="1:17" ht="14.1" customHeight="1">
      <c r="A33"/>
      <c r="B33"/>
      <c r="C33" t="s">
        <v>92</v>
      </c>
      <c r="D33"/>
      <c r="E33"/>
      <c r="F33"/>
      <c r="G33"/>
      <c r="H33"/>
      <c r="I33" s="24"/>
      <c r="J33" s="12"/>
      <c r="K33" s="25">
        <v>-9339502</v>
      </c>
      <c r="L33" s="25"/>
      <c r="M33" s="25">
        <v>0</v>
      </c>
      <c r="O33" s="4"/>
      <c r="Q33" s="4"/>
    </row>
    <row r="34" spans="1:17" ht="20.100000000000001" customHeight="1">
      <c r="A34"/>
      <c r="B34"/>
      <c r="C34"/>
      <c r="D34"/>
      <c r="E34"/>
      <c r="F34"/>
      <c r="G34"/>
      <c r="H34"/>
      <c r="I34" s="24"/>
      <c r="K34" s="29" t="e">
        <f>SUM(K30:K33)</f>
        <v>#REF!</v>
      </c>
      <c r="L34" s="25"/>
      <c r="M34" s="29" t="e">
        <f>SUM(M30:M33)</f>
        <v>#REF!</v>
      </c>
      <c r="O34" s="4"/>
      <c r="Q34" s="4"/>
    </row>
    <row r="35" spans="1:17" ht="14.1" customHeight="1">
      <c r="A35"/>
      <c r="B35" t="s">
        <v>60</v>
      </c>
      <c r="C35"/>
      <c r="D35"/>
      <c r="E35"/>
      <c r="F35"/>
      <c r="G35"/>
      <c r="H35"/>
      <c r="I35" s="24"/>
      <c r="K35" s="25"/>
      <c r="L35" s="25"/>
      <c r="M35" s="25"/>
      <c r="O35" s="4"/>
      <c r="Q35" s="4"/>
    </row>
    <row r="36" spans="1:17" ht="14.1" customHeight="1">
      <c r="A36"/>
      <c r="B36"/>
      <c r="C36" t="s">
        <v>61</v>
      </c>
      <c r="D36"/>
      <c r="E36"/>
      <c r="F36"/>
      <c r="G36"/>
      <c r="H36"/>
      <c r="I36" s="24"/>
      <c r="K36" s="25"/>
      <c r="L36" s="25"/>
      <c r="M36" s="25"/>
    </row>
    <row r="37" spans="1:17" ht="14.1" customHeight="1">
      <c r="A37"/>
      <c r="B37"/>
      <c r="C37"/>
      <c r="D37" t="s">
        <v>52</v>
      </c>
      <c r="E37"/>
      <c r="F37"/>
      <c r="G37"/>
      <c r="H37"/>
      <c r="I37" s="24"/>
      <c r="K37" s="25" t="e">
        <f>+#REF!</f>
        <v>#REF!</v>
      </c>
      <c r="L37" s="25"/>
      <c r="M37" s="25">
        <f>6567280-4803698</f>
        <v>1763582</v>
      </c>
    </row>
    <row r="38" spans="1:17" ht="20.100000000000001" customHeight="1">
      <c r="A38"/>
      <c r="B38"/>
      <c r="C38"/>
      <c r="D38"/>
      <c r="E38"/>
      <c r="F38"/>
      <c r="G38" t="s">
        <v>42</v>
      </c>
      <c r="H38"/>
      <c r="I38" s="24"/>
      <c r="K38" s="29" t="e">
        <f>SUM(K37:K37)</f>
        <v>#REF!</v>
      </c>
      <c r="L38" s="25"/>
      <c r="M38" s="29">
        <f>SUM(M37:M37)</f>
        <v>1763582</v>
      </c>
    </row>
    <row r="39" spans="1:17" ht="20.100000000000001" customHeight="1">
      <c r="A39"/>
      <c r="B39"/>
      <c r="C39"/>
      <c r="D39"/>
      <c r="E39"/>
      <c r="F39"/>
      <c r="G39" t="s">
        <v>56</v>
      </c>
      <c r="H39"/>
      <c r="I39" s="24"/>
      <c r="K39" s="33" t="e">
        <f>+K24+K38+K34</f>
        <v>#REF!</v>
      </c>
      <c r="L39" s="33"/>
      <c r="M39" s="33" t="e">
        <f>+M24+M38+M34</f>
        <v>#REF!</v>
      </c>
    </row>
    <row r="40" spans="1:17" ht="20.100000000000001" customHeight="1">
      <c r="A40" t="s">
        <v>57</v>
      </c>
      <c r="B40"/>
      <c r="C40"/>
      <c r="D40"/>
      <c r="E40"/>
      <c r="F40"/>
      <c r="G40"/>
      <c r="H40"/>
      <c r="I40" s="24"/>
      <c r="K40" s="25" t="e">
        <f>+#REF!</f>
        <v>#REF!</v>
      </c>
      <c r="L40" s="25"/>
      <c r="M40" s="25">
        <v>980514</v>
      </c>
    </row>
    <row r="41" spans="1:17" ht="20.100000000000001" customHeight="1" thickBot="1">
      <c r="A41"/>
      <c r="B41"/>
      <c r="C41"/>
      <c r="D41"/>
      <c r="E41"/>
      <c r="F41"/>
      <c r="G41" t="s">
        <v>58</v>
      </c>
      <c r="H41"/>
      <c r="I41" s="24"/>
      <c r="K41" s="28" t="e">
        <f>+K39+K40</f>
        <v>#REF!</v>
      </c>
      <c r="L41" s="25"/>
      <c r="M41" s="28" t="e">
        <f>+M39+M40</f>
        <v>#REF!</v>
      </c>
    </row>
    <row r="42" spans="1:17" ht="39" customHeight="1" thickTop="1">
      <c r="A42" t="str">
        <f>+ESF!A53</f>
        <v xml:space="preserve">Las notas de la 1 a la 33 que se acompañan forman parte integral de los estados financieros consolidados. </v>
      </c>
      <c r="B42"/>
      <c r="C42"/>
      <c r="D42"/>
      <c r="E42"/>
      <c r="F42"/>
      <c r="G42"/>
      <c r="H42"/>
      <c r="I42" s="8"/>
    </row>
    <row r="43" spans="1:17" ht="14.1" customHeight="1">
      <c r="A43"/>
      <c r="B43"/>
      <c r="C43"/>
      <c r="D43"/>
      <c r="E43"/>
      <c r="F43"/>
      <c r="G43"/>
      <c r="H43"/>
      <c r="K43" s="21"/>
      <c r="M43" s="21"/>
    </row>
    <row r="44" spans="1:17" ht="14.1" customHeight="1">
      <c r="A44"/>
      <c r="B44"/>
      <c r="C44"/>
      <c r="D44"/>
      <c r="E44"/>
      <c r="F44"/>
      <c r="G44"/>
      <c r="H44"/>
      <c r="K44" s="21"/>
      <c r="M44" s="11"/>
    </row>
    <row r="45" spans="1:17" ht="14.1" customHeight="1">
      <c r="K45" s="11"/>
      <c r="M45" s="11"/>
    </row>
    <row r="46" spans="1:17" ht="14.1" customHeight="1">
      <c r="K46" s="11"/>
      <c r="M46" s="11"/>
    </row>
    <row r="47" spans="1:17" ht="14.1" customHeight="1">
      <c r="M47" s="11"/>
    </row>
    <row r="48" spans="1:17" ht="14.1" customHeight="1">
      <c r="M48" s="11"/>
    </row>
    <row r="49" spans="13:13" ht="14.1" customHeight="1">
      <c r="M49" s="11"/>
    </row>
    <row r="50" spans="13:13" ht="14.1" customHeight="1">
      <c r="M50" s="11"/>
    </row>
    <row r="51" spans="13:13" ht="14.1" customHeight="1">
      <c r="M51" s="11"/>
    </row>
    <row r="52" spans="13:13" ht="14.1" customHeight="1">
      <c r="M52" s="11"/>
    </row>
    <row r="53" spans="13:13" ht="14.1" customHeight="1">
      <c r="M53" s="11"/>
    </row>
    <row r="54" spans="13:13" ht="14.1" customHeight="1">
      <c r="M54" s="11"/>
    </row>
  </sheetData>
  <mergeCells count="4">
    <mergeCell ref="A1:M1"/>
    <mergeCell ref="A2:M2"/>
    <mergeCell ref="A3:M3"/>
    <mergeCell ref="A4:M4"/>
  </mergeCells>
  <pageMargins left="0.74803149606299213" right="0.74803149606299213" top="0.51181102362204722" bottom="0.74803149606299213" header="0" footer="0.43307086614173229"/>
  <pageSetup scale="80" firstPageNumber="4" orientation="portrait" useFirstPageNumber="1" r:id="rId1"/>
  <headerFooter>
    <oddFooter>&amp;R&amp;P</oddFooter>
  </headerFooter>
  <colBreaks count="1" manualBreakCount="1">
    <brk id="13" max="41" man="1"/>
  </colBreaks>
  <customProperties>
    <customPr name="KSheetIndex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4" sqref="C14"/>
    </sheetView>
  </sheetViews>
  <sheetFormatPr baseColWidth="10" defaultColWidth="10.33203125" defaultRowHeight="13.2"/>
  <cols>
    <col min="1" max="1" width="38.33203125" style="43" bestFit="1" customWidth="1"/>
    <col min="2" max="2" width="17.77734375" style="43" bestFit="1" customWidth="1"/>
    <col min="3" max="3" width="15.5546875" style="43" bestFit="1" customWidth="1"/>
    <col min="4" max="4" width="13.44140625" style="43" customWidth="1"/>
    <col min="5" max="5" width="13" style="43" customWidth="1"/>
    <col min="6" max="6" width="18.109375" style="43" customWidth="1"/>
    <col min="7" max="7" width="19.109375" style="43" bestFit="1" customWidth="1"/>
    <col min="8" max="8" width="14.44140625" style="43" customWidth="1"/>
    <col min="9" max="9" width="12.21875" style="43" hidden="1" customWidth="1"/>
    <col min="10" max="10" width="13.109375" style="43" hidden="1" customWidth="1"/>
    <col min="11" max="11" width="15.33203125" style="43" bestFit="1" customWidth="1"/>
    <col min="12" max="12" width="14.88671875" style="43" customWidth="1"/>
    <col min="13" max="13" width="16.77734375" style="43" bestFit="1" customWidth="1"/>
    <col min="14" max="14" width="13.44140625" style="43" hidden="1" customWidth="1"/>
    <col min="15" max="15" width="17.44140625" style="43" customWidth="1"/>
    <col min="16" max="16" width="38.21875" style="43" bestFit="1" customWidth="1"/>
    <col min="17" max="17" width="20.5546875" style="43" bestFit="1" customWidth="1"/>
    <col min="18" max="18" width="17.21875" style="43" bestFit="1" customWidth="1"/>
    <col min="19" max="19" width="18.5546875" style="43" bestFit="1" customWidth="1"/>
    <col min="20" max="20" width="14.44140625" style="43" bestFit="1" customWidth="1"/>
    <col min="21" max="16384" width="10.33203125" style="43"/>
  </cols>
  <sheetData>
    <row r="1" spans="1:16">
      <c r="A1" s="118" t="s">
        <v>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42"/>
    </row>
    <row r="2" spans="1:16">
      <c r="A2" s="118" t="s">
        <v>100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42"/>
    </row>
    <row r="3" spans="1:16">
      <c r="A3" s="118" t="s">
        <v>79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42"/>
    </row>
    <row r="4" spans="1:16">
      <c r="A4" s="118" t="s">
        <v>101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42"/>
    </row>
    <row r="5" spans="1:16">
      <c r="A5" s="42"/>
      <c r="B5" s="42"/>
      <c r="C5" s="44"/>
      <c r="D5" s="42"/>
      <c r="E5" s="42"/>
      <c r="F5" s="42"/>
      <c r="G5" s="42"/>
      <c r="H5" s="42"/>
      <c r="I5" s="42"/>
      <c r="J5" s="42"/>
      <c r="K5" s="42"/>
      <c r="L5" s="42"/>
    </row>
    <row r="6" spans="1:16" ht="13.8" thickBot="1">
      <c r="A6" s="42"/>
      <c r="B6" s="44">
        <f>+B10</f>
        <v>556289530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ht="13.8" thickBot="1">
      <c r="A7" s="45"/>
      <c r="B7" s="46" t="s">
        <v>102</v>
      </c>
      <c r="C7" s="47"/>
      <c r="D7" s="48" t="s">
        <v>103</v>
      </c>
      <c r="E7" s="47"/>
      <c r="F7" s="49" t="s">
        <v>104</v>
      </c>
      <c r="G7" s="50"/>
      <c r="H7" s="51" t="s">
        <v>105</v>
      </c>
      <c r="I7" s="46" t="s">
        <v>106</v>
      </c>
      <c r="J7" s="47"/>
      <c r="K7" s="45"/>
      <c r="L7" s="45" t="s">
        <v>107</v>
      </c>
      <c r="M7" s="45"/>
      <c r="N7" s="45" t="s">
        <v>108</v>
      </c>
      <c r="O7" s="45" t="s">
        <v>108</v>
      </c>
      <c r="P7" s="52"/>
    </row>
    <row r="8" spans="1:16" ht="13.8" thickBot="1">
      <c r="A8" s="53" t="s">
        <v>109</v>
      </c>
      <c r="B8" s="54">
        <v>42825</v>
      </c>
      <c r="C8" s="54">
        <v>42460</v>
      </c>
      <c r="D8" s="55" t="s">
        <v>110</v>
      </c>
      <c r="E8" s="56" t="s">
        <v>111</v>
      </c>
      <c r="F8" s="56" t="s">
        <v>110</v>
      </c>
      <c r="G8" s="57" t="s">
        <v>111</v>
      </c>
      <c r="H8" s="56" t="s">
        <v>112</v>
      </c>
      <c r="I8" s="56" t="s">
        <v>110</v>
      </c>
      <c r="J8" s="56" t="s">
        <v>111</v>
      </c>
      <c r="K8" s="58" t="s">
        <v>113</v>
      </c>
      <c r="L8" s="58" t="s">
        <v>114</v>
      </c>
      <c r="M8" s="58" t="s">
        <v>115</v>
      </c>
      <c r="N8" s="58" t="s">
        <v>116</v>
      </c>
      <c r="O8" s="58" t="s">
        <v>116</v>
      </c>
      <c r="P8" s="52"/>
    </row>
    <row r="9" spans="1:16">
      <c r="A9" s="59" t="s">
        <v>1</v>
      </c>
      <c r="B9" s="60"/>
      <c r="C9" s="60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16">
      <c r="A10" s="64" t="s">
        <v>94</v>
      </c>
      <c r="B10" s="62">
        <v>556289530</v>
      </c>
      <c r="C10" s="62">
        <v>5485985</v>
      </c>
      <c r="D10" s="65">
        <f>IF(B10&gt;C10,B10-C10,0)</f>
        <v>550803545</v>
      </c>
      <c r="E10" s="62">
        <f>IF(D10=0,C10-B10,0)</f>
        <v>0</v>
      </c>
      <c r="F10" s="62"/>
      <c r="G10" s="62"/>
      <c r="H10" s="62">
        <f t="shared" ref="H10:H20" si="0">D10-E10+F10-G10</f>
        <v>550803545</v>
      </c>
      <c r="I10" s="62">
        <f t="shared" ref="I10:I19" si="1">IF(H10&gt;0,H10,0)</f>
        <v>550803545</v>
      </c>
      <c r="J10" s="62">
        <f t="shared" ref="J10:J19" si="2">IF(I10=0,-H10,0)</f>
        <v>0</v>
      </c>
      <c r="K10" s="62"/>
      <c r="L10" s="62"/>
      <c r="M10" s="62"/>
      <c r="N10" s="62"/>
      <c r="O10" s="62">
        <f t="shared" ref="O10:O68" si="3">-H10</f>
        <v>-550803545</v>
      </c>
      <c r="P10" s="66"/>
    </row>
    <row r="11" spans="1:16">
      <c r="A11" s="64" t="s">
        <v>80</v>
      </c>
      <c r="B11" s="67">
        <v>928821621</v>
      </c>
      <c r="C11" s="67">
        <v>23189409</v>
      </c>
      <c r="D11" s="65">
        <f>IF(B11&gt;C11,B11-C11,0)</f>
        <v>905632212</v>
      </c>
      <c r="E11" s="62">
        <f>IF(D11=0,C11-B11,0)</f>
        <v>0</v>
      </c>
      <c r="F11" s="62"/>
      <c r="G11" s="62"/>
      <c r="H11" s="62">
        <f t="shared" si="0"/>
        <v>905632212</v>
      </c>
      <c r="I11" s="62"/>
      <c r="J11" s="62"/>
      <c r="K11" s="62"/>
      <c r="L11" s="62"/>
      <c r="M11" s="62"/>
      <c r="N11" s="62"/>
      <c r="O11" s="62">
        <f t="shared" si="3"/>
        <v>-905632212</v>
      </c>
      <c r="P11" s="68"/>
    </row>
    <row r="12" spans="1:16">
      <c r="A12" s="64" t="s">
        <v>30</v>
      </c>
      <c r="B12" s="69">
        <v>1081815542</v>
      </c>
      <c r="C12" s="69">
        <v>34356972</v>
      </c>
      <c r="D12" s="65">
        <f t="shared" ref="D12:D19" si="4">IF(B12&gt;C12,B12-C12,0)</f>
        <v>1047458570</v>
      </c>
      <c r="E12" s="62">
        <f t="shared" ref="E12:E19" si="5">IF(D12=0,C12-B12,0)</f>
        <v>0</v>
      </c>
      <c r="F12" s="62"/>
      <c r="G12" s="62"/>
      <c r="H12" s="62">
        <f t="shared" si="0"/>
        <v>1047458570</v>
      </c>
      <c r="I12" s="62">
        <f t="shared" si="1"/>
        <v>1047458570</v>
      </c>
      <c r="J12" s="62">
        <f t="shared" si="2"/>
        <v>0</v>
      </c>
      <c r="K12" s="62"/>
      <c r="L12" s="62"/>
      <c r="M12" s="62">
        <f t="shared" ref="M12:M20" si="6">-H12</f>
        <v>-1047458570</v>
      </c>
      <c r="N12" s="62"/>
      <c r="O12" s="62">
        <f t="shared" si="3"/>
        <v>-1047458570</v>
      </c>
      <c r="P12" s="68"/>
    </row>
    <row r="13" spans="1:16">
      <c r="A13" s="64" t="s">
        <v>0</v>
      </c>
      <c r="B13" s="69">
        <v>12833991</v>
      </c>
      <c r="C13" s="69">
        <v>628044</v>
      </c>
      <c r="D13" s="65">
        <f t="shared" si="4"/>
        <v>12205947</v>
      </c>
      <c r="E13" s="62">
        <f t="shared" si="5"/>
        <v>0</v>
      </c>
      <c r="F13" s="62"/>
      <c r="G13" s="62"/>
      <c r="H13" s="62">
        <f t="shared" si="0"/>
        <v>12205947</v>
      </c>
      <c r="I13" s="62">
        <f t="shared" si="1"/>
        <v>12205947</v>
      </c>
      <c r="J13" s="62">
        <f t="shared" si="2"/>
        <v>0</v>
      </c>
      <c r="K13" s="62"/>
      <c r="L13" s="62"/>
      <c r="M13" s="62">
        <f t="shared" si="6"/>
        <v>-12205947</v>
      </c>
      <c r="N13" s="62"/>
      <c r="O13" s="62">
        <f t="shared" si="3"/>
        <v>-12205947</v>
      </c>
      <c r="P13" s="70"/>
    </row>
    <row r="14" spans="1:16">
      <c r="A14" s="64" t="s">
        <v>31</v>
      </c>
      <c r="B14" s="71">
        <v>42960498</v>
      </c>
      <c r="C14" s="71">
        <v>2300000</v>
      </c>
      <c r="D14" s="72">
        <f t="shared" si="4"/>
        <v>40660498</v>
      </c>
      <c r="E14" s="73">
        <f t="shared" si="5"/>
        <v>0</v>
      </c>
      <c r="F14" s="73">
        <v>9339502</v>
      </c>
      <c r="G14" s="73">
        <v>50000000</v>
      </c>
      <c r="H14" s="73">
        <f t="shared" si="0"/>
        <v>0</v>
      </c>
      <c r="I14" s="73">
        <f t="shared" si="1"/>
        <v>0</v>
      </c>
      <c r="J14" s="73">
        <f t="shared" si="2"/>
        <v>0</v>
      </c>
      <c r="K14" s="73"/>
      <c r="L14" s="73"/>
      <c r="M14" s="73">
        <f t="shared" si="6"/>
        <v>0</v>
      </c>
      <c r="N14" s="73"/>
      <c r="O14" s="73">
        <f t="shared" si="3"/>
        <v>0</v>
      </c>
      <c r="P14" s="68" t="s">
        <v>117</v>
      </c>
    </row>
    <row r="15" spans="1:16">
      <c r="A15" s="74" t="s">
        <v>73</v>
      </c>
      <c r="B15" s="71">
        <v>18497</v>
      </c>
      <c r="C15" s="71">
        <v>512</v>
      </c>
      <c r="D15" s="72">
        <f t="shared" si="4"/>
        <v>17985</v>
      </c>
      <c r="E15" s="73">
        <f t="shared" si="5"/>
        <v>0</v>
      </c>
      <c r="F15" s="73"/>
      <c r="G15" s="73">
        <f>+D15</f>
        <v>17985</v>
      </c>
      <c r="H15" s="73">
        <f t="shared" si="0"/>
        <v>0</v>
      </c>
      <c r="I15" s="73">
        <f t="shared" si="1"/>
        <v>0</v>
      </c>
      <c r="J15" s="73">
        <f t="shared" si="2"/>
        <v>0</v>
      </c>
      <c r="K15" s="73"/>
      <c r="L15" s="73"/>
      <c r="M15" s="73">
        <f t="shared" si="6"/>
        <v>0</v>
      </c>
      <c r="N15" s="73"/>
      <c r="O15" s="73">
        <f t="shared" si="3"/>
        <v>0</v>
      </c>
      <c r="P15" s="115">
        <f>+O15</f>
        <v>0</v>
      </c>
    </row>
    <row r="16" spans="1:16">
      <c r="A16" s="74" t="s">
        <v>95</v>
      </c>
      <c r="B16" s="73">
        <v>75720167702</v>
      </c>
      <c r="C16" s="73">
        <v>382766048</v>
      </c>
      <c r="D16" s="72">
        <f t="shared" si="4"/>
        <v>75337401654</v>
      </c>
      <c r="E16" s="73">
        <f t="shared" si="5"/>
        <v>0</v>
      </c>
      <c r="F16" s="73">
        <f>705843+570284</f>
        <v>1276127</v>
      </c>
      <c r="G16" s="73">
        <f>74425104209+541688948+371876086+8538</f>
        <v>75338677781</v>
      </c>
      <c r="H16" s="73">
        <f t="shared" si="0"/>
        <v>0</v>
      </c>
      <c r="I16" s="73">
        <f t="shared" si="1"/>
        <v>0</v>
      </c>
      <c r="J16" s="73">
        <f t="shared" si="2"/>
        <v>0</v>
      </c>
      <c r="K16" s="73"/>
      <c r="L16" s="73"/>
      <c r="M16" s="73"/>
      <c r="N16" s="73"/>
      <c r="O16" s="73">
        <f t="shared" si="3"/>
        <v>0</v>
      </c>
      <c r="P16" s="68"/>
    </row>
    <row r="17" spans="1:16">
      <c r="A17" s="74" t="s">
        <v>11</v>
      </c>
      <c r="B17" s="73">
        <v>2665633765</v>
      </c>
      <c r="C17" s="73">
        <v>21475339</v>
      </c>
      <c r="D17" s="72">
        <f t="shared" si="4"/>
        <v>2644158426</v>
      </c>
      <c r="E17" s="73">
        <f t="shared" si="5"/>
        <v>0</v>
      </c>
      <c r="F17" s="73"/>
      <c r="G17" s="73">
        <f>2527337686+116820740</f>
        <v>2644158426</v>
      </c>
      <c r="H17" s="73">
        <f t="shared" si="0"/>
        <v>0</v>
      </c>
      <c r="I17" s="73">
        <f t="shared" si="1"/>
        <v>0</v>
      </c>
      <c r="J17" s="73">
        <f t="shared" si="2"/>
        <v>0</v>
      </c>
      <c r="K17" s="73"/>
      <c r="L17" s="73"/>
      <c r="M17" s="73">
        <f>-H17</f>
        <v>0</v>
      </c>
      <c r="N17" s="73"/>
      <c r="O17" s="73">
        <f t="shared" si="3"/>
        <v>0</v>
      </c>
      <c r="P17" s="70" t="s">
        <v>117</v>
      </c>
    </row>
    <row r="18" spans="1:16">
      <c r="A18" s="64" t="s">
        <v>33</v>
      </c>
      <c r="B18" s="62">
        <v>806505729</v>
      </c>
      <c r="C18" s="62">
        <v>1640068</v>
      </c>
      <c r="D18" s="65">
        <f t="shared" si="4"/>
        <v>804865661</v>
      </c>
      <c r="E18" s="62">
        <f t="shared" si="5"/>
        <v>0</v>
      </c>
      <c r="F18" s="62"/>
      <c r="G18" s="62"/>
      <c r="H18" s="62">
        <f t="shared" si="0"/>
        <v>804865661</v>
      </c>
      <c r="I18" s="62"/>
      <c r="J18" s="62"/>
      <c r="K18" s="62"/>
      <c r="L18" s="62"/>
      <c r="M18" s="62">
        <f>-H18</f>
        <v>-804865661</v>
      </c>
      <c r="N18" s="62"/>
      <c r="O18" s="62">
        <f t="shared" si="3"/>
        <v>-804865661</v>
      </c>
      <c r="P18" s="68"/>
    </row>
    <row r="19" spans="1:16">
      <c r="A19" s="75"/>
      <c r="B19" s="62"/>
      <c r="C19" s="62"/>
      <c r="D19" s="65">
        <f t="shared" si="4"/>
        <v>0</v>
      </c>
      <c r="E19" s="62">
        <f t="shared" si="5"/>
        <v>0</v>
      </c>
      <c r="F19" s="62"/>
      <c r="G19" s="62"/>
      <c r="H19" s="62">
        <f t="shared" si="0"/>
        <v>0</v>
      </c>
      <c r="I19" s="62">
        <f t="shared" si="1"/>
        <v>0</v>
      </c>
      <c r="J19" s="62">
        <f t="shared" si="2"/>
        <v>0</v>
      </c>
      <c r="K19" s="62">
        <f>-H19</f>
        <v>0</v>
      </c>
      <c r="L19" s="62"/>
      <c r="M19" s="62">
        <f t="shared" si="6"/>
        <v>0</v>
      </c>
      <c r="N19" s="62">
        <f>-K19</f>
        <v>0</v>
      </c>
      <c r="O19" s="62">
        <f t="shared" si="3"/>
        <v>0</v>
      </c>
      <c r="P19" s="68"/>
    </row>
    <row r="20" spans="1:16" ht="13.8" thickBot="1">
      <c r="A20" s="75"/>
      <c r="B20" s="62"/>
      <c r="C20" s="62"/>
      <c r="D20" s="65">
        <f>IF(B20&gt;C20,B20-C20,0)</f>
        <v>0</v>
      </c>
      <c r="E20" s="62">
        <f>IF(D20=0,C20-B20,0)</f>
        <v>0</v>
      </c>
      <c r="F20" s="62"/>
      <c r="G20" s="62"/>
      <c r="H20" s="62">
        <f t="shared" si="0"/>
        <v>0</v>
      </c>
      <c r="I20" s="62"/>
      <c r="J20" s="62"/>
      <c r="K20" s="62"/>
      <c r="L20" s="62"/>
      <c r="M20" s="62">
        <f t="shared" si="6"/>
        <v>0</v>
      </c>
      <c r="N20" s="62"/>
      <c r="O20" s="62">
        <f t="shared" si="3"/>
        <v>0</v>
      </c>
      <c r="P20" s="68"/>
    </row>
    <row r="21" spans="1:16" ht="13.8" thickBot="1">
      <c r="A21" s="76" t="s">
        <v>118</v>
      </c>
      <c r="B21" s="77">
        <f>SUM(B10:B20)</f>
        <v>81815046875</v>
      </c>
      <c r="C21" s="77">
        <f>SUM(C10:C20)</f>
        <v>471842377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3"/>
        <v>0</v>
      </c>
      <c r="P21" s="68"/>
    </row>
    <row r="22" spans="1:16">
      <c r="A22" s="78"/>
      <c r="B22" s="62"/>
      <c r="C22" s="62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>
        <f t="shared" si="3"/>
        <v>0</v>
      </c>
      <c r="P22" s="68"/>
    </row>
    <row r="23" spans="1:16">
      <c r="A23" s="76" t="s">
        <v>119</v>
      </c>
      <c r="B23" s="62"/>
      <c r="C23" s="62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>
        <f t="shared" si="3"/>
        <v>0</v>
      </c>
      <c r="P23" s="68"/>
    </row>
    <row r="24" spans="1:16">
      <c r="A24" s="78"/>
      <c r="B24" s="62"/>
      <c r="C24" s="62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>
        <f t="shared" si="3"/>
        <v>0</v>
      </c>
      <c r="P24" s="68"/>
    </row>
    <row r="25" spans="1:16">
      <c r="A25" s="74" t="s">
        <v>81</v>
      </c>
      <c r="B25" s="73">
        <f>400712920+325894109</f>
        <v>726607029</v>
      </c>
      <c r="C25" s="73">
        <f>8695588+4284726</f>
        <v>12980314</v>
      </c>
      <c r="D25" s="79">
        <f>IF(E25=0,C25-B25,0)</f>
        <v>0</v>
      </c>
      <c r="E25" s="73">
        <f t="shared" ref="E25:E35" si="7">IF(B25&gt;C25,B25-C25,0)</f>
        <v>713626715</v>
      </c>
      <c r="F25" s="73">
        <f>+[1]Sheet1!C8+[1]Sheet1!C9+[1]Sheet1!C12</f>
        <v>721494765</v>
      </c>
      <c r="G25" s="73">
        <f>-[1]Sheet1!C10-[1]Sheet1!C11</f>
        <v>7868050</v>
      </c>
      <c r="H25" s="73">
        <f t="shared" ref="H25:H35" si="8">D25-E25+F25-G25</f>
        <v>0</v>
      </c>
      <c r="I25" s="73">
        <f>IF(H25&gt;0,H25,0)</f>
        <v>0</v>
      </c>
      <c r="J25" s="73">
        <f>IF(I25=0,-H25,0)</f>
        <v>0</v>
      </c>
      <c r="K25" s="73"/>
      <c r="L25" s="73"/>
      <c r="M25" s="73">
        <f t="shared" ref="M25:M34" si="9">-H25</f>
        <v>0</v>
      </c>
      <c r="N25" s="73"/>
      <c r="O25" s="73">
        <f t="shared" si="3"/>
        <v>0</v>
      </c>
      <c r="P25" s="70" t="s">
        <v>117</v>
      </c>
    </row>
    <row r="26" spans="1:16">
      <c r="A26" s="74" t="s">
        <v>7</v>
      </c>
      <c r="B26" s="73">
        <f>102222+4912865</f>
        <v>5015087</v>
      </c>
      <c r="C26" s="73">
        <v>1954035</v>
      </c>
      <c r="D26" s="79">
        <f>IF(E26=0,C26-B26,0)</f>
        <v>0</v>
      </c>
      <c r="E26" s="73">
        <f t="shared" si="7"/>
        <v>3061052</v>
      </c>
      <c r="F26" s="73">
        <f>1966939+979268+102222+12623</f>
        <v>3061052</v>
      </c>
      <c r="G26" s="73"/>
      <c r="H26" s="73">
        <f t="shared" si="8"/>
        <v>0</v>
      </c>
      <c r="I26" s="73"/>
      <c r="J26" s="73"/>
      <c r="K26" s="73"/>
      <c r="L26" s="73"/>
      <c r="M26" s="73">
        <f t="shared" si="9"/>
        <v>0</v>
      </c>
      <c r="N26" s="73"/>
      <c r="O26" s="73">
        <f t="shared" si="3"/>
        <v>0</v>
      </c>
      <c r="P26" s="70" t="s">
        <v>117</v>
      </c>
    </row>
    <row r="27" spans="1:16">
      <c r="A27" s="64" t="s">
        <v>82</v>
      </c>
      <c r="B27" s="62">
        <v>2366039509</v>
      </c>
      <c r="C27" s="62">
        <v>35292374</v>
      </c>
      <c r="D27" s="61">
        <f t="shared" ref="D27:D35" si="10">IF(E27=0,C27-B27,0)</f>
        <v>0</v>
      </c>
      <c r="E27" s="62">
        <f t="shared" si="7"/>
        <v>2330747135</v>
      </c>
      <c r="F27" s="62"/>
      <c r="G27" s="62"/>
      <c r="H27" s="62">
        <f t="shared" si="8"/>
        <v>-2330747135</v>
      </c>
      <c r="I27" s="62"/>
      <c r="J27" s="62"/>
      <c r="K27" s="62"/>
      <c r="L27" s="62"/>
      <c r="M27" s="62">
        <f>-H27</f>
        <v>2330747135</v>
      </c>
      <c r="N27" s="62"/>
      <c r="O27" s="62">
        <f t="shared" si="3"/>
        <v>2330747135</v>
      </c>
      <c r="P27" s="68"/>
    </row>
    <row r="28" spans="1:16">
      <c r="A28" s="74" t="s">
        <v>14</v>
      </c>
      <c r="B28" s="73">
        <v>89049</v>
      </c>
      <c r="C28" s="73">
        <v>32898</v>
      </c>
      <c r="D28" s="79">
        <f t="shared" si="10"/>
        <v>0</v>
      </c>
      <c r="E28" s="73">
        <f t="shared" si="7"/>
        <v>56151</v>
      </c>
      <c r="F28" s="73">
        <v>1497134</v>
      </c>
      <c r="G28" s="73">
        <v>1440983</v>
      </c>
      <c r="H28" s="73">
        <f t="shared" si="8"/>
        <v>0</v>
      </c>
      <c r="I28" s="73">
        <f>IF(H28&gt;0,H28,0)</f>
        <v>0</v>
      </c>
      <c r="J28" s="73">
        <f>IF(I28=0,-H28,0)</f>
        <v>0</v>
      </c>
      <c r="K28" s="73"/>
      <c r="L28" s="73"/>
      <c r="M28" s="73">
        <f t="shared" si="9"/>
        <v>0</v>
      </c>
      <c r="N28" s="73">
        <f>+L28</f>
        <v>0</v>
      </c>
      <c r="O28" s="73">
        <f t="shared" si="3"/>
        <v>0</v>
      </c>
      <c r="P28" s="70" t="s">
        <v>117</v>
      </c>
    </row>
    <row r="29" spans="1:16">
      <c r="A29" s="64" t="s">
        <v>49</v>
      </c>
      <c r="B29" s="62">
        <v>40911364</v>
      </c>
      <c r="C29" s="62">
        <v>2625242</v>
      </c>
      <c r="D29" s="61">
        <f t="shared" si="10"/>
        <v>0</v>
      </c>
      <c r="E29" s="62">
        <f t="shared" si="7"/>
        <v>38286122</v>
      </c>
      <c r="F29" s="62">
        <f>+E29</f>
        <v>38286122</v>
      </c>
      <c r="G29" s="62"/>
      <c r="H29" s="62">
        <f t="shared" si="8"/>
        <v>0</v>
      </c>
      <c r="I29" s="62">
        <f>IF(H29&gt;0,H29,0)</f>
        <v>0</v>
      </c>
      <c r="J29" s="62">
        <f>IF(I29=0,-H29,0)</f>
        <v>0</v>
      </c>
      <c r="K29" s="62"/>
      <c r="L29" s="62"/>
      <c r="M29" s="62">
        <f t="shared" si="9"/>
        <v>0</v>
      </c>
      <c r="N29" s="62"/>
      <c r="O29" s="62">
        <f t="shared" si="3"/>
        <v>0</v>
      </c>
      <c r="P29" s="68"/>
    </row>
    <row r="30" spans="1:16">
      <c r="A30" s="64" t="s">
        <v>39</v>
      </c>
      <c r="B30" s="62">
        <v>600823215</v>
      </c>
      <c r="C30" s="62">
        <v>7000772</v>
      </c>
      <c r="D30" s="61">
        <f t="shared" si="10"/>
        <v>0</v>
      </c>
      <c r="E30" s="62">
        <f t="shared" si="7"/>
        <v>593822443</v>
      </c>
      <c r="F30" s="62"/>
      <c r="G30" s="62"/>
      <c r="H30" s="62">
        <f t="shared" si="8"/>
        <v>-593822443</v>
      </c>
      <c r="I30" s="62"/>
      <c r="J30" s="62"/>
      <c r="K30" s="62"/>
      <c r="L30" s="62"/>
      <c r="M30" s="62">
        <f t="shared" si="9"/>
        <v>593822443</v>
      </c>
      <c r="N30" s="62"/>
      <c r="O30" s="62">
        <f t="shared" si="3"/>
        <v>593822443</v>
      </c>
      <c r="P30" s="68"/>
    </row>
    <row r="31" spans="1:16">
      <c r="A31" s="64" t="s">
        <v>59</v>
      </c>
      <c r="B31" s="62">
        <f>45491735+17106711</f>
        <v>62598446</v>
      </c>
      <c r="C31" s="62">
        <f>2520130+1544802</f>
        <v>4064932</v>
      </c>
      <c r="D31" s="61">
        <f t="shared" si="10"/>
        <v>0</v>
      </c>
      <c r="E31" s="62">
        <f t="shared" si="7"/>
        <v>58533514</v>
      </c>
      <c r="F31" s="62">
        <v>9365308</v>
      </c>
      <c r="G31" s="62"/>
      <c r="H31" s="62">
        <f t="shared" si="8"/>
        <v>-49168206</v>
      </c>
      <c r="I31" s="62"/>
      <c r="J31" s="62"/>
      <c r="K31" s="62"/>
      <c r="L31" s="62"/>
      <c r="M31" s="62">
        <f>-H31</f>
        <v>49168206</v>
      </c>
      <c r="N31" s="62"/>
      <c r="O31" s="62">
        <f t="shared" si="3"/>
        <v>49168206</v>
      </c>
      <c r="P31" s="68"/>
    </row>
    <row r="32" spans="1:16">
      <c r="A32" s="74" t="s">
        <v>54</v>
      </c>
      <c r="B32" s="73">
        <v>26271550159</v>
      </c>
      <c r="C32" s="73">
        <v>132668117</v>
      </c>
      <c r="D32" s="79">
        <f t="shared" si="10"/>
        <v>0</v>
      </c>
      <c r="E32" s="73">
        <f t="shared" si="7"/>
        <v>26138882042</v>
      </c>
      <c r="F32" s="73">
        <f>25269512451+869369591</f>
        <v>26138882042</v>
      </c>
      <c r="G32" s="73">
        <v>0</v>
      </c>
      <c r="H32" s="73">
        <f t="shared" si="8"/>
        <v>0</v>
      </c>
      <c r="I32" s="73"/>
      <c r="J32" s="73"/>
      <c r="K32" s="73"/>
      <c r="L32" s="73"/>
      <c r="M32" s="73">
        <f t="shared" ref="M32:M33" si="11">-H32</f>
        <v>0</v>
      </c>
      <c r="N32" s="73"/>
      <c r="O32" s="73">
        <f t="shared" si="3"/>
        <v>0</v>
      </c>
      <c r="P32" s="70" t="s">
        <v>117</v>
      </c>
    </row>
    <row r="33" spans="1:16">
      <c r="A33" s="64" t="s">
        <v>16</v>
      </c>
      <c r="B33" s="62">
        <v>200</v>
      </c>
      <c r="C33" s="62">
        <v>221</v>
      </c>
      <c r="D33" s="61">
        <f t="shared" si="10"/>
        <v>21</v>
      </c>
      <c r="E33" s="62">
        <f t="shared" si="7"/>
        <v>0</v>
      </c>
      <c r="F33" s="62"/>
      <c r="G33" s="62"/>
      <c r="H33" s="62">
        <f t="shared" si="8"/>
        <v>21</v>
      </c>
      <c r="I33" s="62"/>
      <c r="J33" s="62"/>
      <c r="K33" s="62"/>
      <c r="L33" s="62"/>
      <c r="M33" s="62">
        <f t="shared" si="11"/>
        <v>-21</v>
      </c>
      <c r="N33" s="62"/>
      <c r="O33" s="62">
        <f t="shared" si="3"/>
        <v>-21</v>
      </c>
      <c r="P33" s="68"/>
    </row>
    <row r="34" spans="1:16">
      <c r="A34" s="64" t="s">
        <v>5</v>
      </c>
      <c r="B34" s="62">
        <v>54350</v>
      </c>
      <c r="C34" s="62">
        <v>1704</v>
      </c>
      <c r="D34" s="61">
        <f t="shared" si="10"/>
        <v>0</v>
      </c>
      <c r="E34" s="62">
        <f t="shared" si="7"/>
        <v>52646</v>
      </c>
      <c r="F34" s="62"/>
      <c r="G34" s="62"/>
      <c r="H34" s="62">
        <f t="shared" si="8"/>
        <v>-52646</v>
      </c>
      <c r="I34" s="62"/>
      <c r="J34" s="62"/>
      <c r="K34" s="62"/>
      <c r="L34" s="62"/>
      <c r="M34" s="62">
        <f t="shared" si="9"/>
        <v>52646</v>
      </c>
      <c r="N34" s="62">
        <f>+L34</f>
        <v>0</v>
      </c>
      <c r="O34" s="62">
        <f t="shared" si="3"/>
        <v>52646</v>
      </c>
      <c r="P34" s="68"/>
    </row>
    <row r="35" spans="1:16" ht="13.8" thickBot="1">
      <c r="A35" s="80" t="s">
        <v>120</v>
      </c>
      <c r="B35" s="73">
        <v>51741358467</v>
      </c>
      <c r="C35" s="73">
        <v>275221768</v>
      </c>
      <c r="D35" s="79">
        <f t="shared" si="10"/>
        <v>0</v>
      </c>
      <c r="E35" s="73">
        <f t="shared" si="7"/>
        <v>51466136699</v>
      </c>
      <c r="F35" s="73">
        <f>1512428288+74425104209+731420415+94587787</f>
        <v>76763540699</v>
      </c>
      <c r="G35" s="73">
        <f>25269512451+9365308+9339502+1497134+7689605</f>
        <v>25297404000</v>
      </c>
      <c r="H35" s="73">
        <f t="shared" si="8"/>
        <v>0</v>
      </c>
      <c r="I35" s="73">
        <f>IF(H35&gt;0,H35,0)</f>
        <v>0</v>
      </c>
      <c r="J35" s="73">
        <f>IF(I35=0,-H35,0)</f>
        <v>0</v>
      </c>
      <c r="K35" s="73"/>
      <c r="L35" s="73"/>
      <c r="M35" s="73">
        <f>-I35</f>
        <v>0</v>
      </c>
      <c r="N35" s="73">
        <f>+M35</f>
        <v>0</v>
      </c>
      <c r="O35" s="73">
        <f t="shared" si="3"/>
        <v>0</v>
      </c>
      <c r="P35" s="70" t="s">
        <v>117</v>
      </c>
    </row>
    <row r="36" spans="1:16" ht="13.8" thickBot="1">
      <c r="A36" s="81" t="s">
        <v>121</v>
      </c>
      <c r="B36" s="77">
        <f>SUM(B25:B35)</f>
        <v>81815046875</v>
      </c>
      <c r="C36" s="77">
        <f>SUM(C25:C35)</f>
        <v>471842377</v>
      </c>
      <c r="D36" s="82">
        <f>SUM(D9:D35)</f>
        <v>81343204519</v>
      </c>
      <c r="E36" s="82">
        <f>SUM(E9:E35)</f>
        <v>81343204519</v>
      </c>
      <c r="F36" s="62"/>
      <c r="G36" s="62"/>
      <c r="H36" s="62"/>
      <c r="I36" s="62"/>
      <c r="J36" s="62"/>
      <c r="K36" s="62"/>
      <c r="L36" s="62"/>
      <c r="M36" s="62"/>
      <c r="N36" s="62"/>
      <c r="O36" s="62">
        <f t="shared" si="3"/>
        <v>0</v>
      </c>
      <c r="P36" s="68"/>
    </row>
    <row r="37" spans="1:16">
      <c r="A37" s="78"/>
      <c r="B37" s="62">
        <f>+B36-B21</f>
        <v>0</v>
      </c>
      <c r="C37" s="61">
        <f>+C21-C36</f>
        <v>0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>
        <f t="shared" si="3"/>
        <v>0</v>
      </c>
      <c r="P37" s="68"/>
    </row>
    <row r="38" spans="1:16">
      <c r="A38" s="83" t="s">
        <v>122</v>
      </c>
      <c r="B38" s="62"/>
      <c r="C38" s="61"/>
      <c r="D38" s="62"/>
      <c r="E38" s="62"/>
      <c r="F38" s="62">
        <v>7689605</v>
      </c>
      <c r="G38" s="62">
        <f>1512428288</f>
        <v>1512428288</v>
      </c>
      <c r="H38" s="62">
        <f t="shared" ref="H38:H67" si="12">D38-E38+F38-G38</f>
        <v>-1504738683</v>
      </c>
      <c r="I38" s="62">
        <f t="shared" ref="I38:I60" si="13">IF(H38&gt;0,H38,0)</f>
        <v>0</v>
      </c>
      <c r="J38" s="62">
        <f t="shared" ref="J38:J60" si="14">IF(I38=0,-H38,0)</f>
        <v>1504738683</v>
      </c>
      <c r="K38" s="62"/>
      <c r="L38" s="62"/>
      <c r="M38" s="62">
        <f>+J38</f>
        <v>1504738683</v>
      </c>
      <c r="N38" s="62">
        <f>+M38</f>
        <v>1504738683</v>
      </c>
      <c r="O38" s="62">
        <f>-H38</f>
        <v>1504738683</v>
      </c>
      <c r="P38" s="68"/>
    </row>
    <row r="39" spans="1:16">
      <c r="A39" s="84" t="s">
        <v>123</v>
      </c>
      <c r="B39" s="62"/>
      <c r="C39" s="61"/>
      <c r="D39" s="62"/>
      <c r="E39" s="62"/>
      <c r="F39" s="62"/>
      <c r="G39" s="62">
        <v>860633654</v>
      </c>
      <c r="H39" s="62">
        <f t="shared" si="12"/>
        <v>-860633654</v>
      </c>
      <c r="I39" s="62">
        <f t="shared" si="13"/>
        <v>0</v>
      </c>
      <c r="J39" s="62">
        <f t="shared" si="14"/>
        <v>860633654</v>
      </c>
      <c r="K39" s="62"/>
      <c r="L39" s="62"/>
      <c r="M39" s="62"/>
      <c r="N39" s="62"/>
      <c r="O39" s="62">
        <f>-H39</f>
        <v>860633654</v>
      </c>
      <c r="P39" s="68"/>
    </row>
    <row r="40" spans="1:16">
      <c r="A40" s="83" t="s">
        <v>124</v>
      </c>
      <c r="B40" s="62"/>
      <c r="C40" s="61"/>
      <c r="D40" s="62"/>
      <c r="E40" s="62"/>
      <c r="F40" s="62">
        <v>541688948</v>
      </c>
      <c r="G40" s="62"/>
      <c r="H40" s="62">
        <f t="shared" si="12"/>
        <v>541688948</v>
      </c>
      <c r="I40" s="62">
        <f t="shared" si="13"/>
        <v>541688948</v>
      </c>
      <c r="J40" s="62">
        <f t="shared" si="14"/>
        <v>0</v>
      </c>
      <c r="K40" s="62">
        <f>-H40</f>
        <v>-541688948</v>
      </c>
      <c r="L40" s="62"/>
      <c r="M40" s="62"/>
      <c r="N40" s="62"/>
      <c r="O40" s="62">
        <f t="shared" si="3"/>
        <v>-541688948</v>
      </c>
      <c r="P40" s="68"/>
    </row>
    <row r="41" spans="1:16">
      <c r="A41" s="83" t="s">
        <v>125</v>
      </c>
      <c r="B41" s="62"/>
      <c r="C41" s="61"/>
      <c r="D41" s="62"/>
      <c r="E41" s="62"/>
      <c r="F41" s="62">
        <v>1440983</v>
      </c>
      <c r="G41" s="62"/>
      <c r="H41" s="62">
        <f t="shared" si="12"/>
        <v>1440983</v>
      </c>
      <c r="I41" s="62"/>
      <c r="J41" s="62"/>
      <c r="K41" s="62">
        <f>-H41</f>
        <v>-1440983</v>
      </c>
      <c r="L41" s="62"/>
      <c r="M41" s="62"/>
      <c r="N41" s="62"/>
      <c r="O41" s="62">
        <f t="shared" si="3"/>
        <v>-1440983</v>
      </c>
      <c r="P41" s="68"/>
    </row>
    <row r="42" spans="1:16">
      <c r="A42" s="83" t="s">
        <v>126</v>
      </c>
      <c r="B42" s="62"/>
      <c r="C42" s="61"/>
      <c r="D42" s="62"/>
      <c r="E42" s="62"/>
      <c r="F42" s="62">
        <f>116820740+371876086</f>
        <v>488696826</v>
      </c>
      <c r="G42" s="62">
        <f>731420415+8735937+435621908+94587787</f>
        <v>1270366047</v>
      </c>
      <c r="H42" s="62">
        <f t="shared" si="12"/>
        <v>-781669221</v>
      </c>
      <c r="I42" s="62"/>
      <c r="J42" s="62"/>
      <c r="K42" s="62">
        <f>-H42</f>
        <v>781669221</v>
      </c>
      <c r="L42" s="62"/>
      <c r="M42" s="62"/>
      <c r="N42" s="62"/>
      <c r="O42" s="62">
        <f t="shared" si="3"/>
        <v>781669221</v>
      </c>
      <c r="P42" s="115">
        <f>+O42</f>
        <v>781669221</v>
      </c>
    </row>
    <row r="43" spans="1:16">
      <c r="A43" s="83" t="s">
        <v>127</v>
      </c>
      <c r="B43" s="62"/>
      <c r="C43" s="61"/>
      <c r="D43" s="62"/>
      <c r="E43" s="62"/>
      <c r="F43" s="62">
        <v>2527337686</v>
      </c>
      <c r="G43" s="62"/>
      <c r="H43" s="62">
        <f t="shared" si="12"/>
        <v>2527337686</v>
      </c>
      <c r="I43" s="62">
        <f t="shared" si="13"/>
        <v>2527337686</v>
      </c>
      <c r="J43" s="62">
        <f t="shared" si="14"/>
        <v>0</v>
      </c>
      <c r="K43" s="62"/>
      <c r="L43" s="62"/>
      <c r="M43" s="62">
        <f t="shared" ref="M43:M53" si="15">-H43</f>
        <v>-2527337686</v>
      </c>
      <c r="N43" s="62"/>
      <c r="O43" s="62">
        <f t="shared" si="3"/>
        <v>-2527337686</v>
      </c>
      <c r="P43" s="68"/>
    </row>
    <row r="44" spans="1:16">
      <c r="A44" s="83" t="s">
        <v>128</v>
      </c>
      <c r="B44" s="62"/>
      <c r="C44" s="61"/>
      <c r="D44" s="62"/>
      <c r="E44" s="62"/>
      <c r="F44" s="62">
        <v>50000000</v>
      </c>
      <c r="G44" s="62"/>
      <c r="H44" s="62">
        <f t="shared" si="12"/>
        <v>50000000</v>
      </c>
      <c r="I44" s="62"/>
      <c r="J44" s="62"/>
      <c r="K44" s="62"/>
      <c r="L44" s="62"/>
      <c r="M44" s="62">
        <f t="shared" si="15"/>
        <v>-50000000</v>
      </c>
      <c r="N44" s="62"/>
      <c r="O44" s="62">
        <f t="shared" si="3"/>
        <v>-50000000</v>
      </c>
      <c r="P44" s="68"/>
    </row>
    <row r="45" spans="1:16">
      <c r="A45" s="83" t="s">
        <v>129</v>
      </c>
      <c r="B45" s="62"/>
      <c r="C45" s="61"/>
      <c r="D45" s="62"/>
      <c r="E45" s="62"/>
      <c r="F45" s="62"/>
      <c r="G45" s="62"/>
      <c r="H45" s="62">
        <f t="shared" si="12"/>
        <v>0</v>
      </c>
      <c r="I45" s="62"/>
      <c r="J45" s="62"/>
      <c r="K45" s="62"/>
      <c r="L45" s="62"/>
      <c r="M45" s="62">
        <f t="shared" si="15"/>
        <v>0</v>
      </c>
      <c r="N45" s="62"/>
      <c r="O45" s="62">
        <f t="shared" si="3"/>
        <v>0</v>
      </c>
      <c r="P45" s="68"/>
    </row>
    <row r="46" spans="1:16">
      <c r="A46" s="83" t="s">
        <v>130</v>
      </c>
      <c r="B46" s="62"/>
      <c r="C46" s="61"/>
      <c r="D46" s="62"/>
      <c r="E46" s="62"/>
      <c r="F46" s="62"/>
      <c r="G46" s="62"/>
      <c r="H46" s="62">
        <f t="shared" si="12"/>
        <v>0</v>
      </c>
      <c r="I46" s="62"/>
      <c r="J46" s="62"/>
      <c r="K46" s="62"/>
      <c r="L46" s="62"/>
      <c r="M46" s="62">
        <f t="shared" si="15"/>
        <v>0</v>
      </c>
      <c r="N46" s="62"/>
      <c r="O46" s="62">
        <f t="shared" si="3"/>
        <v>0</v>
      </c>
      <c r="P46" s="68"/>
    </row>
    <row r="47" spans="1:16">
      <c r="A47" s="83" t="s">
        <v>131</v>
      </c>
      <c r="B47" s="62"/>
      <c r="C47" s="61"/>
      <c r="D47" s="62"/>
      <c r="E47" s="62"/>
      <c r="F47" s="62"/>
      <c r="G47" s="62"/>
      <c r="H47" s="62">
        <f t="shared" si="12"/>
        <v>0</v>
      </c>
      <c r="I47" s="62"/>
      <c r="J47" s="62"/>
      <c r="K47" s="62"/>
      <c r="L47" s="62"/>
      <c r="M47" s="62">
        <f t="shared" si="15"/>
        <v>0</v>
      </c>
      <c r="N47" s="62"/>
      <c r="O47" s="62">
        <f t="shared" si="3"/>
        <v>0</v>
      </c>
      <c r="P47" s="68"/>
    </row>
    <row r="48" spans="1:16">
      <c r="A48" s="83" t="s">
        <v>132</v>
      </c>
      <c r="B48" s="62"/>
      <c r="C48" s="61"/>
      <c r="D48" s="62"/>
      <c r="E48" s="62"/>
      <c r="F48" s="62">
        <v>8538</v>
      </c>
      <c r="G48" s="62">
        <v>705843</v>
      </c>
      <c r="H48" s="62">
        <f t="shared" si="12"/>
        <v>-697305</v>
      </c>
      <c r="I48" s="62"/>
      <c r="J48" s="62"/>
      <c r="K48" s="62"/>
      <c r="L48" s="62"/>
      <c r="M48" s="62">
        <f t="shared" si="15"/>
        <v>697305</v>
      </c>
      <c r="N48" s="62"/>
      <c r="O48" s="62">
        <f>-H48</f>
        <v>697305</v>
      </c>
      <c r="P48" s="68"/>
    </row>
    <row r="49" spans="1:17">
      <c r="A49" s="83" t="s">
        <v>133</v>
      </c>
      <c r="B49" s="62"/>
      <c r="C49" s="61"/>
      <c r="D49" s="62"/>
      <c r="E49" s="62"/>
      <c r="F49" s="62"/>
      <c r="G49" s="62">
        <v>51168346</v>
      </c>
      <c r="H49" s="62">
        <f t="shared" si="12"/>
        <v>-51168346</v>
      </c>
      <c r="I49" s="62"/>
      <c r="J49" s="62"/>
      <c r="K49" s="62"/>
      <c r="L49" s="62"/>
      <c r="M49" s="62">
        <f t="shared" si="15"/>
        <v>51168346</v>
      </c>
      <c r="N49" s="62"/>
      <c r="O49" s="62">
        <f t="shared" si="3"/>
        <v>51168346</v>
      </c>
      <c r="P49" s="68"/>
    </row>
    <row r="50" spans="1:17">
      <c r="A50" s="83" t="s">
        <v>134</v>
      </c>
      <c r="B50" s="62"/>
      <c r="C50" s="61"/>
      <c r="D50" s="62"/>
      <c r="E50" s="62"/>
      <c r="F50" s="62">
        <v>12882224</v>
      </c>
      <c r="G50" s="62"/>
      <c r="H50" s="62">
        <f t="shared" si="12"/>
        <v>12882224</v>
      </c>
      <c r="I50" s="62"/>
      <c r="J50" s="62"/>
      <c r="K50" s="62"/>
      <c r="L50" s="62"/>
      <c r="M50" s="62">
        <f t="shared" si="15"/>
        <v>-12882224</v>
      </c>
      <c r="N50" s="62"/>
      <c r="O50" s="62">
        <f t="shared" si="3"/>
        <v>-12882224</v>
      </c>
      <c r="P50" s="68"/>
    </row>
    <row r="51" spans="1:17">
      <c r="A51" s="83" t="s">
        <v>135</v>
      </c>
      <c r="B51" s="62"/>
      <c r="C51" s="61"/>
      <c r="D51" s="62"/>
      <c r="E51" s="62"/>
      <c r="F51" s="62"/>
      <c r="G51" s="62"/>
      <c r="H51" s="62">
        <f t="shared" si="12"/>
        <v>0</v>
      </c>
      <c r="I51" s="62"/>
      <c r="J51" s="62"/>
      <c r="K51" s="62"/>
      <c r="L51" s="62"/>
      <c r="M51" s="62">
        <f t="shared" si="15"/>
        <v>0</v>
      </c>
      <c r="N51" s="62"/>
      <c r="O51" s="62">
        <f t="shared" si="3"/>
        <v>0</v>
      </c>
      <c r="P51" s="68"/>
    </row>
    <row r="52" spans="1:17">
      <c r="A52" s="83" t="s">
        <v>136</v>
      </c>
      <c r="B52" s="62"/>
      <c r="C52" s="61"/>
      <c r="D52" s="62"/>
      <c r="E52" s="62"/>
      <c r="F52" s="62">
        <v>7868050</v>
      </c>
      <c r="G52" s="62">
        <v>0</v>
      </c>
      <c r="H52" s="62">
        <f t="shared" si="12"/>
        <v>7868050</v>
      </c>
      <c r="I52" s="62"/>
      <c r="J52" s="62"/>
      <c r="K52" s="62"/>
      <c r="L52" s="62"/>
      <c r="M52" s="62">
        <f t="shared" si="15"/>
        <v>-7868050</v>
      </c>
      <c r="N52" s="62"/>
      <c r="O52" s="62">
        <f t="shared" si="3"/>
        <v>-7868050</v>
      </c>
      <c r="P52" s="68"/>
    </row>
    <row r="53" spans="1:17">
      <c r="A53" s="83" t="s">
        <v>137</v>
      </c>
      <c r="B53" s="62"/>
      <c r="C53" s="61"/>
      <c r="D53" s="62"/>
      <c r="E53" s="62"/>
      <c r="F53" s="62"/>
      <c r="G53" s="62"/>
      <c r="H53" s="62">
        <f t="shared" si="12"/>
        <v>0</v>
      </c>
      <c r="I53" s="62"/>
      <c r="J53" s="62"/>
      <c r="K53" s="62"/>
      <c r="L53" s="62"/>
      <c r="M53" s="62">
        <f t="shared" si="15"/>
        <v>0</v>
      </c>
      <c r="N53" s="62"/>
      <c r="O53" s="62">
        <f t="shared" si="3"/>
        <v>0</v>
      </c>
      <c r="P53" s="68"/>
    </row>
    <row r="54" spans="1:17">
      <c r="A54" s="83" t="s">
        <v>202</v>
      </c>
      <c r="B54" s="62"/>
      <c r="C54" s="61"/>
      <c r="D54" s="62"/>
      <c r="E54" s="62"/>
      <c r="F54" s="62">
        <v>21189</v>
      </c>
      <c r="G54" s="62"/>
      <c r="H54" s="62">
        <f t="shared" ref="H54" si="16">D54-E54+F54-G54</f>
        <v>21189</v>
      </c>
      <c r="I54" s="62"/>
      <c r="J54" s="62"/>
      <c r="K54" s="62"/>
      <c r="L54" s="62"/>
      <c r="M54" s="62">
        <f t="shared" ref="M54" si="17">-H54</f>
        <v>-21189</v>
      </c>
      <c r="N54" s="62"/>
      <c r="O54" s="62">
        <f t="shared" ref="O54" si="18">-H54</f>
        <v>-21189</v>
      </c>
      <c r="P54" s="68"/>
    </row>
    <row r="55" spans="1:17">
      <c r="A55" s="78" t="s">
        <v>138</v>
      </c>
      <c r="B55" s="62"/>
      <c r="C55" s="61"/>
      <c r="D55" s="62"/>
      <c r="E55" s="62"/>
      <c r="F55" s="62"/>
      <c r="G55" s="62">
        <v>3204</v>
      </c>
      <c r="H55" s="62">
        <f t="shared" si="12"/>
        <v>-3204</v>
      </c>
      <c r="I55" s="62">
        <f t="shared" si="13"/>
        <v>0</v>
      </c>
      <c r="J55" s="62">
        <f t="shared" si="14"/>
        <v>3204</v>
      </c>
      <c r="K55" s="62">
        <f>-H55</f>
        <v>3204</v>
      </c>
      <c r="L55" s="62"/>
      <c r="M55" s="62"/>
      <c r="N55" s="62"/>
      <c r="O55" s="62">
        <f t="shared" si="3"/>
        <v>3204</v>
      </c>
      <c r="P55" s="68"/>
    </row>
    <row r="56" spans="1:17">
      <c r="A56" s="78" t="s">
        <v>64</v>
      </c>
      <c r="B56" s="62"/>
      <c r="C56" s="61"/>
      <c r="D56" s="62"/>
      <c r="E56" s="62"/>
      <c r="F56" s="62"/>
      <c r="G56" s="62">
        <v>570284</v>
      </c>
      <c r="H56" s="62">
        <f t="shared" si="12"/>
        <v>-570284</v>
      </c>
      <c r="I56" s="62">
        <f t="shared" si="13"/>
        <v>0</v>
      </c>
      <c r="J56" s="62">
        <f t="shared" si="14"/>
        <v>570284</v>
      </c>
      <c r="K56" s="62"/>
      <c r="L56" s="62"/>
      <c r="M56" s="62">
        <f>-H56</f>
        <v>570284</v>
      </c>
      <c r="N56" s="62"/>
      <c r="O56" s="62">
        <f t="shared" si="3"/>
        <v>570284</v>
      </c>
      <c r="P56" s="68"/>
      <c r="Q56" s="85">
        <f>+O56+O47</f>
        <v>570284</v>
      </c>
    </row>
    <row r="57" spans="1:17">
      <c r="A57" s="83" t="s">
        <v>139</v>
      </c>
      <c r="B57" s="62"/>
      <c r="C57" s="61"/>
      <c r="D57" s="62"/>
      <c r="E57" s="62"/>
      <c r="F57" s="62">
        <v>0</v>
      </c>
      <c r="G57" s="62">
        <f>285872857+29044782</f>
        <v>314917639</v>
      </c>
      <c r="H57" s="62">
        <f t="shared" si="12"/>
        <v>-314917639</v>
      </c>
      <c r="I57" s="62">
        <f t="shared" si="13"/>
        <v>0</v>
      </c>
      <c r="J57" s="62">
        <f t="shared" si="14"/>
        <v>314917639</v>
      </c>
      <c r="K57" s="62"/>
      <c r="L57" s="62">
        <f>-H57</f>
        <v>314917639</v>
      </c>
      <c r="M57" s="62">
        <v>0</v>
      </c>
      <c r="N57" s="62">
        <f>+M57</f>
        <v>0</v>
      </c>
      <c r="O57" s="62">
        <f t="shared" si="3"/>
        <v>314917639</v>
      </c>
      <c r="P57" s="68"/>
    </row>
    <row r="58" spans="1:17">
      <c r="A58" s="83" t="s">
        <v>140</v>
      </c>
      <c r="B58" s="62"/>
      <c r="C58" s="61"/>
      <c r="D58" s="62"/>
      <c r="E58" s="62"/>
      <c r="F58" s="62">
        <v>0</v>
      </c>
      <c r="G58" s="62">
        <f>1966939+979268+102222+12623</f>
        <v>3061052</v>
      </c>
      <c r="H58" s="62">
        <f t="shared" si="12"/>
        <v>-3061052</v>
      </c>
      <c r="I58" s="62">
        <f t="shared" si="13"/>
        <v>0</v>
      </c>
      <c r="J58" s="62">
        <f t="shared" si="14"/>
        <v>3061052</v>
      </c>
      <c r="K58" s="62"/>
      <c r="L58" s="62">
        <f>-H58</f>
        <v>3061052</v>
      </c>
      <c r="M58" s="62">
        <v>0</v>
      </c>
      <c r="N58" s="62">
        <f>+M58</f>
        <v>0</v>
      </c>
      <c r="O58" s="62">
        <f t="shared" si="3"/>
        <v>3061052</v>
      </c>
      <c r="P58" s="68"/>
    </row>
    <row r="59" spans="1:17">
      <c r="A59" s="78" t="s">
        <v>141</v>
      </c>
      <c r="B59" s="62"/>
      <c r="C59" s="61"/>
      <c r="D59" s="62"/>
      <c r="E59" s="62"/>
      <c r="F59" s="62"/>
      <c r="G59" s="62"/>
      <c r="H59" s="62">
        <f t="shared" si="12"/>
        <v>0</v>
      </c>
      <c r="I59" s="62">
        <f t="shared" si="13"/>
        <v>0</v>
      </c>
      <c r="J59" s="62">
        <f t="shared" si="14"/>
        <v>0</v>
      </c>
      <c r="K59" s="62"/>
      <c r="L59" s="62">
        <f>-H59</f>
        <v>0</v>
      </c>
      <c r="M59" s="62">
        <f>+J59</f>
        <v>0</v>
      </c>
      <c r="N59" s="62">
        <f>+M59</f>
        <v>0</v>
      </c>
      <c r="O59" s="62">
        <f t="shared" si="3"/>
        <v>0</v>
      </c>
      <c r="P59" s="68"/>
    </row>
    <row r="60" spans="1:17">
      <c r="A60" s="78" t="s">
        <v>142</v>
      </c>
      <c r="B60" s="62"/>
      <c r="C60" s="61"/>
      <c r="D60" s="62"/>
      <c r="E60" s="62"/>
      <c r="F60" s="62">
        <v>29044782</v>
      </c>
      <c r="G60" s="62"/>
      <c r="H60" s="62">
        <f t="shared" si="12"/>
        <v>29044782</v>
      </c>
      <c r="I60" s="62">
        <f t="shared" si="13"/>
        <v>29044782</v>
      </c>
      <c r="J60" s="62">
        <f t="shared" si="14"/>
        <v>0</v>
      </c>
      <c r="K60" s="62"/>
      <c r="L60" s="62"/>
      <c r="M60" s="62">
        <f>-H60</f>
        <v>-29044782</v>
      </c>
      <c r="N60" s="62">
        <f>+M60</f>
        <v>-29044782</v>
      </c>
      <c r="O60" s="62">
        <f t="shared" si="3"/>
        <v>-29044782</v>
      </c>
      <c r="P60" s="68"/>
    </row>
    <row r="61" spans="1:17">
      <c r="A61" s="78" t="s">
        <v>143</v>
      </c>
      <c r="B61" s="62"/>
      <c r="C61" s="61"/>
      <c r="D61" s="62"/>
      <c r="E61" s="62"/>
      <c r="F61" s="62"/>
      <c r="G61" s="62"/>
      <c r="H61" s="62">
        <f t="shared" si="12"/>
        <v>0</v>
      </c>
      <c r="I61" s="62"/>
      <c r="J61" s="62"/>
      <c r="K61" s="62"/>
      <c r="L61" s="62">
        <f t="shared" ref="L61:L67" si="19">+H61</f>
        <v>0</v>
      </c>
      <c r="M61" s="62">
        <f t="shared" ref="M61:M67" si="20">-H61</f>
        <v>0</v>
      </c>
      <c r="N61" s="62"/>
      <c r="O61" s="62">
        <f t="shared" si="3"/>
        <v>0</v>
      </c>
      <c r="P61" s="68"/>
    </row>
    <row r="62" spans="1:17">
      <c r="A62" s="78" t="s">
        <v>144</v>
      </c>
      <c r="B62" s="62"/>
      <c r="C62" s="61"/>
      <c r="D62" s="62"/>
      <c r="E62" s="62"/>
      <c r="F62" s="62"/>
      <c r="G62" s="62"/>
      <c r="H62" s="62">
        <f t="shared" si="12"/>
        <v>0</v>
      </c>
      <c r="I62" s="62"/>
      <c r="J62" s="62"/>
      <c r="K62" s="62"/>
      <c r="L62" s="62">
        <f t="shared" si="19"/>
        <v>0</v>
      </c>
      <c r="M62" s="62">
        <f t="shared" si="20"/>
        <v>0</v>
      </c>
      <c r="N62" s="62"/>
      <c r="O62" s="62">
        <f t="shared" si="3"/>
        <v>0</v>
      </c>
      <c r="P62" s="68"/>
    </row>
    <row r="63" spans="1:17">
      <c r="A63" s="78" t="s">
        <v>145</v>
      </c>
      <c r="B63" s="62"/>
      <c r="C63" s="61"/>
      <c r="D63" s="62"/>
      <c r="E63" s="62"/>
      <c r="F63" s="62"/>
      <c r="G63" s="62"/>
      <c r="H63" s="62">
        <f t="shared" si="12"/>
        <v>0</v>
      </c>
      <c r="I63" s="62"/>
      <c r="J63" s="62"/>
      <c r="K63" s="62"/>
      <c r="L63" s="62">
        <f t="shared" si="19"/>
        <v>0</v>
      </c>
      <c r="M63" s="62">
        <f t="shared" si="20"/>
        <v>0</v>
      </c>
      <c r="N63" s="62"/>
      <c r="O63" s="62">
        <f t="shared" si="3"/>
        <v>0</v>
      </c>
      <c r="P63" s="68"/>
    </row>
    <row r="64" spans="1:17">
      <c r="A64" s="78" t="s">
        <v>146</v>
      </c>
      <c r="B64" s="62"/>
      <c r="C64" s="61"/>
      <c r="D64" s="62"/>
      <c r="E64" s="62"/>
      <c r="F64" s="62"/>
      <c r="G64" s="62"/>
      <c r="H64" s="62">
        <f t="shared" si="12"/>
        <v>0</v>
      </c>
      <c r="I64" s="62"/>
      <c r="J64" s="62"/>
      <c r="K64" s="62"/>
      <c r="L64" s="62">
        <f t="shared" si="19"/>
        <v>0</v>
      </c>
      <c r="M64" s="62">
        <f t="shared" si="20"/>
        <v>0</v>
      </c>
      <c r="N64" s="62"/>
      <c r="O64" s="62">
        <f t="shared" si="3"/>
        <v>0</v>
      </c>
      <c r="P64" s="68"/>
    </row>
    <row r="65" spans="1:16">
      <c r="A65" s="78" t="s">
        <v>147</v>
      </c>
      <c r="B65" s="62"/>
      <c r="C65" s="61"/>
      <c r="D65" s="62"/>
      <c r="E65" s="62"/>
      <c r="F65" s="62"/>
      <c r="G65" s="62"/>
      <c r="H65" s="62">
        <f t="shared" si="12"/>
        <v>0</v>
      </c>
      <c r="I65" s="62"/>
      <c r="J65" s="62"/>
      <c r="K65" s="62"/>
      <c r="L65" s="62">
        <f t="shared" si="19"/>
        <v>0</v>
      </c>
      <c r="M65" s="62">
        <f t="shared" si="20"/>
        <v>0</v>
      </c>
      <c r="N65" s="62"/>
      <c r="O65" s="62">
        <f t="shared" si="3"/>
        <v>0</v>
      </c>
      <c r="P65" s="68"/>
    </row>
    <row r="66" spans="1:16">
      <c r="A66" s="78" t="s">
        <v>148</v>
      </c>
      <c r="B66" s="62"/>
      <c r="C66" s="61"/>
      <c r="D66" s="62"/>
      <c r="E66" s="62"/>
      <c r="F66" s="62"/>
      <c r="G66" s="62"/>
      <c r="H66" s="62">
        <f t="shared" si="12"/>
        <v>0</v>
      </c>
      <c r="I66" s="62"/>
      <c r="J66" s="62"/>
      <c r="K66" s="62"/>
      <c r="L66" s="62">
        <f t="shared" si="19"/>
        <v>0</v>
      </c>
      <c r="M66" s="62">
        <f t="shared" si="20"/>
        <v>0</v>
      </c>
      <c r="N66" s="62"/>
      <c r="O66" s="62">
        <f t="shared" si="3"/>
        <v>0</v>
      </c>
      <c r="P66" s="68"/>
    </row>
    <row r="67" spans="1:16">
      <c r="A67" s="78" t="s">
        <v>149</v>
      </c>
      <c r="B67" s="62"/>
      <c r="C67" s="61"/>
      <c r="D67" s="62"/>
      <c r="E67" s="62"/>
      <c r="F67" s="62"/>
      <c r="G67" s="73"/>
      <c r="H67" s="62">
        <f t="shared" si="12"/>
        <v>0</v>
      </c>
      <c r="I67" s="62"/>
      <c r="J67" s="62"/>
      <c r="K67" s="62"/>
      <c r="L67" s="62">
        <f t="shared" si="19"/>
        <v>0</v>
      </c>
      <c r="M67" s="62">
        <f t="shared" si="20"/>
        <v>0</v>
      </c>
      <c r="N67" s="62"/>
      <c r="O67" s="62">
        <f t="shared" si="3"/>
        <v>0</v>
      </c>
      <c r="P67" s="115">
        <f>+O67</f>
        <v>0</v>
      </c>
    </row>
    <row r="68" spans="1:16">
      <c r="A68" s="78" t="s">
        <v>150</v>
      </c>
      <c r="B68" s="62"/>
      <c r="C68" s="61"/>
      <c r="D68" s="62"/>
      <c r="E68" s="62"/>
      <c r="F68" s="62"/>
      <c r="G68" s="62"/>
      <c r="H68" s="62">
        <f>D68-E68+F68-G68</f>
        <v>0</v>
      </c>
      <c r="I68" s="62">
        <f>IF(H68&gt;0,H68,0)</f>
        <v>0</v>
      </c>
      <c r="J68" s="62">
        <f>IF(I68=0,-H68,0)</f>
        <v>0</v>
      </c>
      <c r="K68" s="86"/>
      <c r="L68" s="86"/>
      <c r="M68" s="86">
        <f>F68</f>
        <v>0</v>
      </c>
      <c r="N68" s="86"/>
      <c r="O68" s="62">
        <f t="shared" si="3"/>
        <v>0</v>
      </c>
      <c r="P68" s="66"/>
    </row>
    <row r="69" spans="1:16" ht="13.8" thickBot="1">
      <c r="A69" s="78"/>
      <c r="B69" s="62"/>
      <c r="C69" s="61"/>
      <c r="D69" s="62"/>
      <c r="E69" s="62"/>
      <c r="F69" s="87">
        <f>SUM(F10:F68)</f>
        <v>107353421582</v>
      </c>
      <c r="G69" s="87">
        <f>SUM(G10:G68)</f>
        <v>107353421582</v>
      </c>
      <c r="H69" s="87">
        <f>SUM(H10:H68)</f>
        <v>0</v>
      </c>
      <c r="I69" s="87">
        <f>SUM(I10:I68)</f>
        <v>4708539478</v>
      </c>
      <c r="J69" s="87">
        <f>SUM(J10:J68)</f>
        <v>2683924516</v>
      </c>
      <c r="K69" s="88">
        <f>SUM(K12:K68)</f>
        <v>238542494</v>
      </c>
      <c r="L69" s="88">
        <f>SUM(L12:L68)</f>
        <v>317978691</v>
      </c>
      <c r="M69" s="88">
        <f>SUM(M12:M68)</f>
        <v>39280918</v>
      </c>
      <c r="N69" s="88" t="e">
        <f>+#REF!+N70</f>
        <v>#REF!</v>
      </c>
      <c r="O69" s="88">
        <f>SUM(O11:O68)</f>
        <v>550803545</v>
      </c>
      <c r="P69" s="88">
        <f>SUM(P11:P68)</f>
        <v>781669221</v>
      </c>
    </row>
    <row r="70" spans="1:16" ht="14.4" thickTop="1" thickBot="1">
      <c r="A70" s="89"/>
      <c r="B70" s="90"/>
      <c r="C70" s="91"/>
      <c r="D70" s="90"/>
      <c r="E70" s="90"/>
      <c r="F70" s="90"/>
      <c r="G70" s="90">
        <f>F69-G69</f>
        <v>0</v>
      </c>
      <c r="H70" s="90"/>
      <c r="I70" s="90"/>
      <c r="J70" s="90">
        <f>I69-J69</f>
        <v>2024614962</v>
      </c>
      <c r="K70" s="90"/>
      <c r="L70" s="90"/>
      <c r="M70" s="90"/>
      <c r="N70" s="90">
        <f>10370355370+163106102+1743616642</f>
        <v>12277078114</v>
      </c>
      <c r="O70" s="90"/>
      <c r="P70" s="66"/>
    </row>
    <row r="71" spans="1:16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6">
      <c r="B72" s="65"/>
      <c r="C72" s="65"/>
      <c r="D72" s="65"/>
      <c r="E72" s="65"/>
      <c r="F72" s="65"/>
      <c r="G72" s="65">
        <f>+G68-F68</f>
        <v>0</v>
      </c>
      <c r="H72" s="65"/>
      <c r="I72" s="65"/>
      <c r="J72" s="65"/>
      <c r="K72" s="65" t="s">
        <v>151</v>
      </c>
      <c r="L72" s="65"/>
      <c r="M72" s="65"/>
      <c r="N72" s="65"/>
      <c r="O72" s="65">
        <f>+C10</f>
        <v>5485985</v>
      </c>
      <c r="P72" s="85"/>
    </row>
    <row r="73" spans="1:16">
      <c r="A73" s="43" t="s">
        <v>152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6" ht="13.8" thickBot="1">
      <c r="B74" s="65"/>
      <c r="C74" s="65"/>
      <c r="D74" s="65"/>
      <c r="E74" s="65"/>
      <c r="F74" s="65"/>
      <c r="G74" s="65"/>
      <c r="H74" s="65"/>
      <c r="I74" s="65"/>
      <c r="J74" s="65"/>
      <c r="K74" s="65" t="s">
        <v>153</v>
      </c>
      <c r="L74" s="65"/>
      <c r="M74" s="65"/>
      <c r="N74" s="65"/>
      <c r="O74" s="92">
        <f>+O69+O72</f>
        <v>556289530</v>
      </c>
    </row>
    <row r="75" spans="1:16" ht="13.8" thickTop="1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6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>
        <f>+O74-B10</f>
        <v>0</v>
      </c>
    </row>
    <row r="77" spans="1:16">
      <c r="B77" s="85"/>
      <c r="C77" s="85"/>
      <c r="D77" s="85"/>
      <c r="E77" s="85"/>
      <c r="F77" s="85"/>
      <c r="G77" s="85"/>
      <c r="H77" s="85"/>
      <c r="I77" s="85"/>
      <c r="J77" s="85"/>
      <c r="M77" s="85"/>
      <c r="O77" s="93"/>
    </row>
    <row r="78" spans="1:16">
      <c r="B78" s="85"/>
      <c r="C78" s="85"/>
      <c r="D78" s="85"/>
      <c r="E78" s="85"/>
      <c r="F78" s="85"/>
      <c r="G78" s="85"/>
      <c r="H78" s="85"/>
      <c r="I78" s="85"/>
      <c r="J78" s="85"/>
      <c r="M78" s="85"/>
    </row>
    <row r="79" spans="1:16">
      <c r="A79" s="52" t="s">
        <v>154</v>
      </c>
      <c r="B79" s="66"/>
      <c r="C79" s="66"/>
      <c r="D79" s="66"/>
      <c r="E79" s="66"/>
      <c r="F79" s="66"/>
      <c r="G79" s="66"/>
      <c r="H79" s="85"/>
      <c r="I79" s="85"/>
      <c r="J79" s="85"/>
      <c r="P79" s="85"/>
    </row>
    <row r="80" spans="1:16">
      <c r="A80" s="63"/>
      <c r="B80" s="66"/>
      <c r="C80" s="66"/>
      <c r="D80" s="66"/>
      <c r="E80" s="66"/>
      <c r="F80" s="66"/>
      <c r="G80" s="66"/>
      <c r="H80" s="66"/>
      <c r="I80" s="66"/>
      <c r="J80" s="66"/>
      <c r="K80" s="63"/>
      <c r="L80" s="63"/>
      <c r="P80" s="85"/>
    </row>
    <row r="81" spans="1:22">
      <c r="A81" s="63"/>
      <c r="B81" s="94" t="s">
        <v>155</v>
      </c>
      <c r="C81" s="94" t="s">
        <v>156</v>
      </c>
      <c r="D81" s="94" t="s">
        <v>157</v>
      </c>
      <c r="E81" s="66"/>
      <c r="F81" s="66"/>
      <c r="G81" s="66"/>
      <c r="H81" s="94"/>
      <c r="I81" s="66"/>
      <c r="J81" s="66"/>
      <c r="K81" s="68"/>
      <c r="L81" s="94"/>
      <c r="M81" s="94" t="s">
        <v>157</v>
      </c>
      <c r="O81" s="63"/>
      <c r="P81" s="63"/>
      <c r="Q81" s="63"/>
      <c r="R81" s="63"/>
      <c r="S81" s="63"/>
      <c r="T81" s="63"/>
      <c r="U81" s="63"/>
      <c r="V81" s="63"/>
    </row>
    <row r="82" spans="1:22">
      <c r="A82" s="95" t="s">
        <v>158</v>
      </c>
      <c r="B82" s="66"/>
      <c r="C82" s="66"/>
      <c r="D82" s="66"/>
      <c r="E82" s="66"/>
      <c r="F82" s="95" t="s">
        <v>159</v>
      </c>
      <c r="G82" s="66"/>
      <c r="H82" s="66"/>
      <c r="I82" s="66"/>
      <c r="J82" s="66"/>
      <c r="K82" s="66"/>
      <c r="L82" s="63"/>
      <c r="O82" s="63"/>
      <c r="P82" s="63"/>
      <c r="Q82" s="66"/>
      <c r="R82" s="63"/>
      <c r="S82" s="63"/>
      <c r="T82" s="63"/>
      <c r="U82" s="63"/>
      <c r="V82" s="63"/>
    </row>
    <row r="83" spans="1:22">
      <c r="A83" s="63" t="s">
        <v>160</v>
      </c>
      <c r="B83" s="66"/>
      <c r="C83" s="66"/>
      <c r="D83" s="66"/>
      <c r="E83" s="66"/>
      <c r="F83" s="63" t="str">
        <f>+A83</f>
        <v>Saldo al 31-03-2017</v>
      </c>
      <c r="G83" s="66"/>
      <c r="H83" s="66"/>
      <c r="I83" s="66"/>
      <c r="J83" s="66"/>
      <c r="K83" s="66"/>
      <c r="L83" s="96"/>
      <c r="M83" s="85"/>
      <c r="N83" s="96"/>
      <c r="O83" s="101"/>
      <c r="P83" s="101"/>
      <c r="Q83" s="101"/>
      <c r="R83" s="63"/>
      <c r="S83" s="63"/>
      <c r="T83" s="63"/>
      <c r="U83" s="63"/>
      <c r="V83" s="63"/>
    </row>
    <row r="84" spans="1:22">
      <c r="A84" s="63" t="s">
        <v>161</v>
      </c>
      <c r="B84" s="66"/>
      <c r="C84" s="66"/>
      <c r="D84" s="66"/>
      <c r="E84" s="66" t="s">
        <v>162</v>
      </c>
      <c r="F84" s="63" t="s">
        <v>163</v>
      </c>
      <c r="G84" s="66"/>
      <c r="H84" s="85"/>
      <c r="I84" s="66"/>
      <c r="J84" s="66"/>
      <c r="K84" s="66"/>
      <c r="L84" s="97"/>
      <c r="M84" s="85"/>
      <c r="N84" s="96"/>
      <c r="O84" s="101"/>
      <c r="P84" s="101"/>
      <c r="Q84" s="101"/>
      <c r="R84" s="116"/>
      <c r="S84" s="63"/>
      <c r="T84" s="63"/>
      <c r="U84" s="63"/>
      <c r="V84" s="63"/>
    </row>
    <row r="85" spans="1:22">
      <c r="A85" s="63" t="s">
        <v>164</v>
      </c>
      <c r="B85" s="66"/>
      <c r="C85" s="66"/>
      <c r="D85" s="66"/>
      <c r="E85" s="66" t="s">
        <v>165</v>
      </c>
      <c r="F85" s="63" t="s">
        <v>166</v>
      </c>
      <c r="G85" s="66"/>
      <c r="H85" s="85"/>
      <c r="I85" s="66"/>
      <c r="J85" s="66"/>
      <c r="K85" s="66"/>
      <c r="L85" s="96"/>
      <c r="M85" s="85"/>
      <c r="N85" s="85"/>
      <c r="O85" s="101"/>
      <c r="P85" s="101"/>
      <c r="Q85" s="101"/>
      <c r="R85" s="63"/>
      <c r="S85" s="63"/>
      <c r="T85" s="63"/>
      <c r="U85" s="63"/>
      <c r="V85" s="63"/>
    </row>
    <row r="86" spans="1:22">
      <c r="A86" s="63" t="s">
        <v>167</v>
      </c>
      <c r="B86" s="66"/>
      <c r="C86" s="66"/>
      <c r="D86" s="66"/>
      <c r="E86" s="66"/>
      <c r="F86" s="63" t="s">
        <v>168</v>
      </c>
      <c r="G86" s="66"/>
      <c r="H86" s="85"/>
      <c r="I86" s="66"/>
      <c r="J86" s="66"/>
      <c r="K86" s="66"/>
      <c r="L86" s="97"/>
      <c r="M86" s="85"/>
      <c r="N86" s="85"/>
      <c r="O86" s="101"/>
      <c r="P86" s="101"/>
      <c r="Q86" s="101"/>
      <c r="R86" s="63"/>
      <c r="S86" s="63"/>
      <c r="T86" s="63"/>
      <c r="U86" s="63"/>
      <c r="V86" s="63"/>
    </row>
    <row r="87" spans="1:22">
      <c r="A87" s="63" t="s">
        <v>169</v>
      </c>
      <c r="B87" s="66"/>
      <c r="C87" s="66"/>
      <c r="D87" s="66"/>
      <c r="E87" s="66" t="s">
        <v>165</v>
      </c>
      <c r="F87" s="63" t="s">
        <v>170</v>
      </c>
      <c r="G87" s="66"/>
      <c r="H87" s="66"/>
      <c r="I87" s="66"/>
      <c r="J87" s="66"/>
      <c r="K87" s="66"/>
      <c r="L87" s="63"/>
      <c r="M87" s="66"/>
      <c r="N87" s="85" t="e">
        <f>H91-#REF!</f>
        <v>#REF!</v>
      </c>
      <c r="O87" s="101"/>
      <c r="P87" s="101"/>
      <c r="Q87" s="101"/>
      <c r="R87" s="63"/>
      <c r="S87" s="63"/>
      <c r="T87" s="63"/>
      <c r="U87" s="63"/>
      <c r="V87" s="63"/>
    </row>
    <row r="88" spans="1:22">
      <c r="A88" s="63" t="s">
        <v>76</v>
      </c>
      <c r="B88" s="66"/>
      <c r="C88" s="66"/>
      <c r="D88" s="66">
        <v>0</v>
      </c>
      <c r="E88" s="66" t="s">
        <v>165</v>
      </c>
      <c r="F88" s="43" t="s">
        <v>171</v>
      </c>
      <c r="H88" s="85"/>
      <c r="K88" s="66"/>
      <c r="M88" s="66"/>
      <c r="N88" s="85">
        <f>B27</f>
        <v>2366039509</v>
      </c>
      <c r="O88" s="101"/>
      <c r="P88" s="101"/>
      <c r="Q88" s="101"/>
      <c r="R88" s="63"/>
      <c r="S88" s="63"/>
      <c r="T88" s="63"/>
      <c r="U88" s="63"/>
      <c r="V88" s="63"/>
    </row>
    <row r="89" spans="1:22">
      <c r="A89" s="63" t="s">
        <v>172</v>
      </c>
      <c r="B89" s="66"/>
      <c r="C89" s="66"/>
      <c r="D89" s="66">
        <v>0</v>
      </c>
      <c r="E89" s="66" t="s">
        <v>165</v>
      </c>
      <c r="F89" s="63" t="s">
        <v>173</v>
      </c>
      <c r="K89" s="66"/>
      <c r="M89" s="66"/>
      <c r="O89" s="101"/>
      <c r="P89" s="101"/>
      <c r="Q89" s="101"/>
      <c r="R89" s="63"/>
      <c r="S89" s="63"/>
      <c r="T89" s="63"/>
      <c r="U89" s="63"/>
      <c r="V89" s="63"/>
    </row>
    <row r="90" spans="1:22">
      <c r="A90" s="63" t="s">
        <v>174</v>
      </c>
      <c r="B90" s="66"/>
      <c r="C90" s="66"/>
      <c r="D90" s="66"/>
      <c r="E90" s="66" t="s">
        <v>162</v>
      </c>
      <c r="F90" s="63" t="s">
        <v>175</v>
      </c>
      <c r="K90" s="66"/>
      <c r="M90" s="85"/>
      <c r="O90" s="101"/>
      <c r="P90" s="101"/>
      <c r="Q90" s="101"/>
      <c r="R90" s="63"/>
      <c r="S90" s="63"/>
      <c r="T90" s="63"/>
      <c r="U90" s="63"/>
      <c r="V90" s="63"/>
    </row>
    <row r="91" spans="1:22" ht="13.8" thickBot="1">
      <c r="A91" s="63" t="s">
        <v>176</v>
      </c>
      <c r="B91" s="66"/>
      <c r="C91" s="66"/>
      <c r="D91" s="66"/>
      <c r="E91" s="66"/>
      <c r="F91" s="63" t="str">
        <f>+A92</f>
        <v>Saldo al 31-03-2016</v>
      </c>
      <c r="G91" s="66"/>
      <c r="H91" s="66"/>
      <c r="I91" s="66"/>
      <c r="J91" s="66"/>
      <c r="K91" s="66"/>
      <c r="L91" s="63"/>
      <c r="M91" s="99">
        <f>SUM(M83:M90)</f>
        <v>0</v>
      </c>
      <c r="O91" s="66"/>
      <c r="P91" s="66"/>
      <c r="Q91" s="66"/>
      <c r="R91" s="63"/>
      <c r="S91" s="63"/>
      <c r="T91" s="63"/>
      <c r="U91" s="63"/>
      <c r="V91" s="63"/>
    </row>
    <row r="92" spans="1:22" ht="14.4" thickTop="1" thickBot="1">
      <c r="A92" s="63" t="s">
        <v>177</v>
      </c>
      <c r="B92" s="99">
        <f>SUM(B83:B91)</f>
        <v>0</v>
      </c>
      <c r="C92" s="66"/>
      <c r="D92" s="99">
        <f>SUM(D83:D91)</f>
        <v>0</v>
      </c>
      <c r="E92" s="66"/>
      <c r="F92" s="63"/>
      <c r="G92" s="66"/>
      <c r="H92" s="66"/>
      <c r="I92" s="66"/>
      <c r="J92" s="66"/>
      <c r="K92" s="66"/>
      <c r="L92" s="66"/>
      <c r="M92" s="85">
        <f>+B26+B25+B27</f>
        <v>3097661625</v>
      </c>
      <c r="N92" s="85">
        <v>103413830</v>
      </c>
      <c r="O92" s="66"/>
      <c r="P92" s="66"/>
      <c r="Q92" s="63"/>
      <c r="R92" s="63"/>
      <c r="S92" s="63"/>
      <c r="T92" s="63"/>
      <c r="U92" s="63"/>
      <c r="V92" s="63"/>
    </row>
    <row r="93" spans="1:22" ht="13.8" thickTop="1">
      <c r="A93" s="63"/>
      <c r="B93" s="66"/>
      <c r="C93" s="66"/>
      <c r="D93" s="66">
        <f>+D92-B19</f>
        <v>0</v>
      </c>
      <c r="E93" s="66" t="s">
        <v>178</v>
      </c>
      <c r="M93" s="85">
        <f>+M92-M91</f>
        <v>3097661625</v>
      </c>
      <c r="N93" s="85"/>
      <c r="O93" s="66"/>
      <c r="P93" s="66"/>
      <c r="Q93" s="63"/>
      <c r="R93" s="63"/>
      <c r="S93" s="63"/>
      <c r="T93" s="63"/>
      <c r="U93" s="63"/>
      <c r="V93" s="63"/>
    </row>
    <row r="94" spans="1:22">
      <c r="A94" s="63"/>
      <c r="B94" s="94" t="s">
        <v>155</v>
      </c>
      <c r="C94" s="94" t="s">
        <v>156</v>
      </c>
      <c r="D94" s="94" t="s">
        <v>157</v>
      </c>
      <c r="E94" s="66"/>
      <c r="F94" s="95" t="s">
        <v>54</v>
      </c>
      <c r="G94" s="66"/>
      <c r="H94" s="94"/>
      <c r="I94" s="66"/>
      <c r="J94" s="66"/>
      <c r="K94" s="68"/>
      <c r="L94" s="94"/>
      <c r="M94" s="94" t="s">
        <v>157</v>
      </c>
      <c r="O94" s="101"/>
      <c r="P94" s="63"/>
      <c r="Q94" s="63"/>
      <c r="R94" s="63"/>
      <c r="S94" s="63"/>
      <c r="T94" s="63"/>
      <c r="U94" s="63"/>
      <c r="V94" s="63"/>
    </row>
    <row r="95" spans="1:22">
      <c r="A95" s="63"/>
      <c r="B95" s="66"/>
      <c r="C95" s="96"/>
      <c r="D95" s="66"/>
      <c r="E95" s="66"/>
      <c r="F95" s="95"/>
      <c r="G95" s="66"/>
      <c r="H95" s="66"/>
      <c r="I95" s="66"/>
      <c r="J95" s="66"/>
      <c r="K95" s="63"/>
      <c r="L95" s="63"/>
      <c r="O95" s="116"/>
      <c r="P95" s="63"/>
      <c r="Q95" s="101"/>
      <c r="R95" s="101"/>
      <c r="S95" s="101"/>
      <c r="T95" s="101"/>
      <c r="U95" s="63"/>
      <c r="V95" s="63"/>
    </row>
    <row r="96" spans="1:22">
      <c r="A96" s="95" t="s">
        <v>11</v>
      </c>
      <c r="B96" s="100"/>
      <c r="C96" s="96"/>
      <c r="D96" s="66"/>
      <c r="E96" s="66"/>
      <c r="F96" s="63" t="str">
        <f>+A83</f>
        <v>Saldo al 31-03-2017</v>
      </c>
      <c r="G96" s="66"/>
      <c r="H96" s="66"/>
      <c r="I96" s="66"/>
      <c r="J96" s="66"/>
      <c r="K96" s="101"/>
      <c r="L96" s="63"/>
      <c r="M96" s="85"/>
      <c r="O96" s="66"/>
      <c r="P96" s="63"/>
      <c r="Q96" s="101"/>
      <c r="R96" s="101"/>
      <c r="S96" s="101"/>
      <c r="T96" s="101"/>
      <c r="U96" s="63"/>
      <c r="V96" s="63"/>
    </row>
    <row r="97" spans="1:36">
      <c r="A97" s="63" t="str">
        <f>+A83</f>
        <v>Saldo al 31-03-2017</v>
      </c>
      <c r="B97" s="66"/>
      <c r="C97" s="102"/>
      <c r="D97" s="66"/>
      <c r="E97" s="66"/>
      <c r="F97" s="63" t="s">
        <v>179</v>
      </c>
      <c r="G97" s="66"/>
      <c r="H97" s="66"/>
      <c r="I97" s="66"/>
      <c r="J97" s="66"/>
      <c r="K97" s="103"/>
      <c r="L97" s="103"/>
      <c r="M97" s="85"/>
      <c r="N97" s="66">
        <f>M101-B25</f>
        <v>-726607029</v>
      </c>
      <c r="O97" s="66"/>
      <c r="P97" s="66"/>
      <c r="Q97" s="101"/>
      <c r="R97" s="101"/>
      <c r="S97" s="101"/>
      <c r="T97" s="101"/>
      <c r="U97" s="63"/>
      <c r="V97" s="63"/>
    </row>
    <row r="98" spans="1:36">
      <c r="A98" s="63" t="s">
        <v>180</v>
      </c>
      <c r="B98" s="104"/>
      <c r="C98" s="64"/>
      <c r="D98" s="66"/>
      <c r="E98" s="66"/>
      <c r="F98" s="63" t="s">
        <v>168</v>
      </c>
      <c r="G98" s="66"/>
      <c r="H98" s="66"/>
      <c r="I98" s="66"/>
      <c r="J98" s="66"/>
      <c r="K98" s="105"/>
      <c r="L98" s="103"/>
      <c r="M98" s="85"/>
      <c r="O98" s="66"/>
      <c r="P98" s="66"/>
      <c r="Q98" s="101"/>
      <c r="R98" s="101"/>
      <c r="S98" s="101"/>
      <c r="T98" s="101"/>
      <c r="U98" s="63"/>
      <c r="V98" s="63"/>
    </row>
    <row r="99" spans="1:36">
      <c r="A99" s="63" t="s">
        <v>181</v>
      </c>
      <c r="B99" s="104"/>
      <c r="C99" s="64"/>
      <c r="D99" s="66"/>
      <c r="E99" s="66"/>
      <c r="F99" s="63" t="s">
        <v>182</v>
      </c>
      <c r="G99" s="66"/>
      <c r="H99" s="66"/>
      <c r="I99" s="66"/>
      <c r="J99" s="66"/>
      <c r="K99" s="63"/>
      <c r="L99" s="63"/>
      <c r="M99" s="85"/>
      <c r="O99" s="66"/>
      <c r="P99" s="66"/>
      <c r="Q99" s="116"/>
      <c r="R99" s="63"/>
      <c r="S99" s="101"/>
      <c r="T99" s="63"/>
      <c r="U99" s="63"/>
      <c r="V99" s="63"/>
    </row>
    <row r="100" spans="1:36">
      <c r="A100" s="63" t="s">
        <v>183</v>
      </c>
      <c r="B100" s="66"/>
      <c r="C100" s="102"/>
      <c r="D100" s="66"/>
      <c r="E100" s="66"/>
      <c r="F100" s="63" t="s">
        <v>184</v>
      </c>
      <c r="G100" s="66"/>
      <c r="H100" s="66"/>
      <c r="I100" s="66"/>
      <c r="J100" s="66"/>
      <c r="K100" s="63"/>
      <c r="L100" s="63"/>
      <c r="M100" s="66"/>
      <c r="N100" s="63"/>
      <c r="O100" s="66"/>
      <c r="P100" s="63"/>
      <c r="Q100" s="116"/>
      <c r="R100" s="63"/>
      <c r="S100" s="101"/>
      <c r="T100" s="63"/>
      <c r="U100" s="63"/>
      <c r="V100" s="63"/>
    </row>
    <row r="101" spans="1:36" ht="13.8" thickBot="1">
      <c r="A101" s="63" t="s">
        <v>168</v>
      </c>
      <c r="B101" s="66"/>
      <c r="C101" s="102"/>
      <c r="D101" s="66"/>
      <c r="E101" s="66"/>
      <c r="F101" s="63" t="str">
        <f>+A92</f>
        <v>Saldo al 31-03-2016</v>
      </c>
      <c r="G101" s="66"/>
      <c r="H101" s="66"/>
      <c r="I101" s="66"/>
      <c r="J101" s="66"/>
      <c r="K101" s="102"/>
      <c r="L101" s="63"/>
      <c r="M101" s="99">
        <f>SUM(M96:M100)</f>
        <v>0</v>
      </c>
      <c r="N101" s="63"/>
      <c r="O101" s="63"/>
      <c r="P101" s="63"/>
      <c r="Q101" s="116"/>
      <c r="R101" s="63"/>
      <c r="S101" s="116"/>
      <c r="T101" s="63"/>
      <c r="U101" s="63"/>
      <c r="V101" s="63"/>
    </row>
    <row r="102" spans="1:36" ht="14.4" thickTop="1" thickBot="1">
      <c r="A102" s="63" t="str">
        <f>+A92</f>
        <v>Saldo al 31-03-2016</v>
      </c>
      <c r="B102" s="99">
        <f>SUM(B97:B101)</f>
        <v>0</v>
      </c>
      <c r="C102" s="96" t="s">
        <v>185</v>
      </c>
      <c r="D102" s="99">
        <f>SUM(D97:D101)</f>
        <v>0</v>
      </c>
      <c r="E102" s="66"/>
      <c r="M102" s="85" t="e">
        <f>+M101-#REF!</f>
        <v>#REF!</v>
      </c>
      <c r="N102" s="63"/>
      <c r="O102" s="63"/>
      <c r="P102" s="63"/>
      <c r="Q102" s="63"/>
      <c r="R102" s="63"/>
      <c r="S102" s="116"/>
      <c r="T102" s="63"/>
      <c r="U102" s="63"/>
      <c r="V102" s="63"/>
    </row>
    <row r="103" spans="1:36" ht="13.8" thickTop="1">
      <c r="A103" s="63"/>
      <c r="B103" s="66"/>
      <c r="C103" s="96"/>
      <c r="D103" s="66"/>
      <c r="E103" s="66"/>
      <c r="F103" s="66"/>
      <c r="G103" s="66"/>
      <c r="H103" s="85"/>
      <c r="I103" s="85"/>
      <c r="J103" s="85"/>
      <c r="K103" s="85"/>
      <c r="M103" s="66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1:36">
      <c r="A104" s="63"/>
      <c r="B104" s="66"/>
      <c r="C104" s="66"/>
      <c r="D104" s="66"/>
      <c r="E104" s="63"/>
      <c r="F104" s="106" t="s">
        <v>186</v>
      </c>
      <c r="G104" s="66"/>
      <c r="H104" s="94"/>
      <c r="I104" s="66"/>
      <c r="J104" s="66"/>
      <c r="K104" s="94"/>
      <c r="L104" s="94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</row>
    <row r="105" spans="1:36">
      <c r="A105" s="63"/>
      <c r="B105" s="66"/>
      <c r="C105" s="66"/>
      <c r="D105" s="66"/>
      <c r="E105" s="63"/>
      <c r="F105" s="63" t="str">
        <f>+F96</f>
        <v>Saldo al 31-03-2017</v>
      </c>
      <c r="G105" s="66"/>
      <c r="H105" s="66"/>
      <c r="I105" s="66"/>
      <c r="J105" s="66"/>
      <c r="K105" s="63"/>
      <c r="L105" s="63"/>
      <c r="M105" s="85"/>
      <c r="N105" s="66"/>
      <c r="O105" s="66"/>
      <c r="P105" s="66"/>
      <c r="Q105" s="66"/>
      <c r="R105" s="66"/>
      <c r="S105" s="66"/>
      <c r="T105" s="66"/>
      <c r="U105" s="66"/>
      <c r="V105" s="66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</row>
    <row r="106" spans="1:36" ht="13.8">
      <c r="A106" s="95" t="s">
        <v>187</v>
      </c>
      <c r="B106" s="94" t="s">
        <v>155</v>
      </c>
      <c r="C106" s="94" t="s">
        <v>156</v>
      </c>
      <c r="D106" s="94" t="s">
        <v>157</v>
      </c>
      <c r="E106" s="63"/>
      <c r="F106" s="63" t="s">
        <v>188</v>
      </c>
      <c r="G106" s="66"/>
      <c r="H106" s="66"/>
      <c r="I106" s="66"/>
      <c r="J106" s="66"/>
      <c r="K106" s="107"/>
      <c r="L106" s="66"/>
      <c r="M106" s="85"/>
      <c r="N106" s="66"/>
      <c r="O106" s="66"/>
      <c r="P106" s="66"/>
      <c r="Q106" s="66"/>
      <c r="R106" s="66"/>
      <c r="S106" s="66"/>
      <c r="T106" s="66"/>
      <c r="U106" s="66"/>
      <c r="V106" s="66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</row>
    <row r="107" spans="1:36" ht="13.8">
      <c r="A107" s="63" t="str">
        <f>+A97</f>
        <v>Saldo al 31-03-2017</v>
      </c>
      <c r="B107" s="66"/>
      <c r="C107" s="66"/>
      <c r="D107" s="66">
        <f>C20</f>
        <v>0</v>
      </c>
      <c r="E107" s="63"/>
      <c r="F107" s="63" t="s">
        <v>189</v>
      </c>
      <c r="G107" s="66"/>
      <c r="H107" s="66"/>
      <c r="I107" s="66"/>
      <c r="J107" s="66"/>
      <c r="K107" s="108"/>
      <c r="L107" s="66"/>
      <c r="M107" s="85"/>
      <c r="N107" s="66"/>
      <c r="O107" s="66"/>
      <c r="P107" s="66"/>
      <c r="Q107" s="66"/>
      <c r="R107" s="66"/>
      <c r="S107" s="66"/>
      <c r="T107" s="66"/>
      <c r="U107" s="66"/>
      <c r="V107" s="66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</row>
    <row r="108" spans="1:36">
      <c r="A108" s="63" t="s">
        <v>161</v>
      </c>
      <c r="B108" s="66"/>
      <c r="C108" s="66"/>
      <c r="D108" s="66"/>
      <c r="E108" s="66"/>
      <c r="F108" s="63" t="s">
        <v>168</v>
      </c>
      <c r="G108" s="63"/>
      <c r="H108" s="66"/>
      <c r="I108" s="63"/>
      <c r="J108" s="63"/>
      <c r="K108" s="63"/>
      <c r="L108" s="66"/>
      <c r="M108" s="85"/>
      <c r="N108" s="66"/>
      <c r="O108" s="66"/>
      <c r="P108" s="66"/>
      <c r="Q108" s="66"/>
      <c r="R108" s="66"/>
      <c r="S108" s="66"/>
      <c r="T108" s="66"/>
      <c r="U108" s="66"/>
      <c r="V108" s="66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</row>
    <row r="109" spans="1:36" ht="13.8" thickBot="1">
      <c r="A109" s="63" t="s">
        <v>164</v>
      </c>
      <c r="B109" s="66"/>
      <c r="C109" s="66"/>
      <c r="D109" s="66"/>
      <c r="E109" s="63"/>
      <c r="F109" s="63" t="str">
        <f>+F101</f>
        <v>Saldo al 31-03-2016</v>
      </c>
      <c r="G109" s="63"/>
      <c r="H109" s="63"/>
      <c r="I109" s="63"/>
      <c r="J109" s="63"/>
      <c r="K109" s="63"/>
      <c r="L109" s="66"/>
      <c r="M109" s="99">
        <f>SUM(M105:M108)</f>
        <v>0</v>
      </c>
      <c r="N109" s="66"/>
      <c r="O109" s="66"/>
      <c r="P109" s="66"/>
      <c r="Q109" s="66"/>
      <c r="R109" s="66"/>
      <c r="S109" s="66"/>
      <c r="T109" s="66"/>
      <c r="U109" s="66"/>
      <c r="V109" s="66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</row>
    <row r="110" spans="1:36" ht="13.8" thickTop="1">
      <c r="A110" s="63" t="s">
        <v>167</v>
      </c>
      <c r="B110" s="66"/>
      <c r="C110" s="66"/>
      <c r="D110" s="66"/>
      <c r="E110" s="63"/>
      <c r="G110" s="109"/>
      <c r="H110" s="109"/>
      <c r="I110" s="109"/>
      <c r="J110" s="109"/>
      <c r="K110" s="109"/>
      <c r="L110" s="66"/>
      <c r="M110" s="66"/>
      <c r="N110" s="85"/>
      <c r="O110" s="66"/>
      <c r="P110" s="66"/>
      <c r="Q110" s="63"/>
      <c r="R110" s="63"/>
      <c r="S110" s="63"/>
      <c r="T110" s="63"/>
      <c r="U110" s="63"/>
      <c r="V110" s="63"/>
    </row>
    <row r="111" spans="1:36" ht="13.8" thickBot="1">
      <c r="A111" s="63" t="str">
        <f>+A102</f>
        <v>Saldo al 31-03-2016</v>
      </c>
      <c r="B111" s="99">
        <f>SUM(B107:B110)</f>
        <v>0</v>
      </c>
      <c r="C111" s="66"/>
      <c r="D111" s="99">
        <f>SUM(D107:D110)</f>
        <v>0</v>
      </c>
      <c r="E111" s="66"/>
      <c r="F111" s="106" t="s">
        <v>190</v>
      </c>
      <c r="G111" s="110"/>
      <c r="H111" s="109"/>
      <c r="I111" s="109"/>
      <c r="J111" s="109"/>
      <c r="K111" s="109"/>
      <c r="L111" s="66"/>
      <c r="M111" s="66"/>
      <c r="O111" s="63"/>
      <c r="P111" s="63"/>
      <c r="Q111" s="63"/>
      <c r="R111" s="63"/>
      <c r="S111" s="63"/>
      <c r="T111" s="63"/>
      <c r="U111" s="63"/>
      <c r="V111" s="63"/>
    </row>
    <row r="112" spans="1:36" ht="13.8" thickTop="1">
      <c r="A112" s="63"/>
      <c r="B112" s="66"/>
      <c r="C112" s="63"/>
      <c r="D112" s="66">
        <f>+D111-B20</f>
        <v>0</v>
      </c>
      <c r="E112" s="66"/>
      <c r="F112" s="63" t="str">
        <f>+F105</f>
        <v>Saldo al 31-03-2017</v>
      </c>
      <c r="G112" s="110"/>
      <c r="H112" s="109"/>
      <c r="I112" s="109"/>
      <c r="J112" s="109"/>
      <c r="K112" s="109"/>
      <c r="L112" s="66"/>
      <c r="M112" s="66"/>
      <c r="O112" s="63"/>
      <c r="P112" s="63"/>
      <c r="Q112" s="63"/>
      <c r="R112" s="63"/>
      <c r="S112" s="63"/>
      <c r="T112" s="63"/>
      <c r="U112" s="63"/>
      <c r="V112" s="63"/>
    </row>
    <row r="113" spans="1:22">
      <c r="A113" s="63"/>
      <c r="B113" s="66"/>
      <c r="C113" s="63"/>
      <c r="D113" s="66"/>
      <c r="E113" s="63"/>
      <c r="F113" s="63" t="s">
        <v>188</v>
      </c>
      <c r="G113" s="110"/>
      <c r="H113" s="111"/>
      <c r="I113" s="109"/>
      <c r="J113" s="109"/>
      <c r="K113" s="66"/>
      <c r="L113" s="66"/>
      <c r="M113" s="66"/>
      <c r="O113" s="112"/>
      <c r="P113" s="101"/>
      <c r="Q113" s="101"/>
      <c r="R113" s="63"/>
      <c r="S113" s="63"/>
      <c r="T113" s="63"/>
      <c r="U113" s="63"/>
      <c r="V113" s="63"/>
    </row>
    <row r="114" spans="1:22">
      <c r="A114" s="63"/>
      <c r="B114" s="94" t="s">
        <v>155</v>
      </c>
      <c r="C114" s="94" t="s">
        <v>156</v>
      </c>
      <c r="D114" s="94" t="s">
        <v>157</v>
      </c>
      <c r="E114" s="63"/>
      <c r="F114" s="63" t="s">
        <v>191</v>
      </c>
      <c r="G114" s="63"/>
      <c r="H114" s="109"/>
      <c r="I114" s="109"/>
      <c r="J114" s="109"/>
      <c r="K114" s="66"/>
      <c r="L114" s="66"/>
      <c r="M114" s="101"/>
      <c r="O114" s="101"/>
      <c r="P114" s="101"/>
      <c r="Q114" s="101"/>
      <c r="R114" s="63"/>
      <c r="S114" s="63"/>
      <c r="T114" s="63"/>
      <c r="U114" s="63"/>
      <c r="V114" s="63"/>
    </row>
    <row r="115" spans="1:22">
      <c r="A115" s="95" t="s">
        <v>192</v>
      </c>
      <c r="B115" s="66"/>
      <c r="C115" s="66"/>
      <c r="D115" s="66"/>
      <c r="E115" s="63"/>
      <c r="F115" s="63" t="s">
        <v>168</v>
      </c>
      <c r="G115" s="109"/>
      <c r="H115" s="109"/>
      <c r="I115" s="109"/>
      <c r="J115" s="109"/>
      <c r="K115" s="109"/>
      <c r="L115" s="66"/>
      <c r="M115" s="66"/>
      <c r="O115" s="63"/>
      <c r="P115" s="63"/>
      <c r="Q115" s="63"/>
      <c r="R115" s="63"/>
      <c r="S115" s="63"/>
      <c r="T115" s="63"/>
      <c r="U115" s="63"/>
      <c r="V115" s="63"/>
    </row>
    <row r="116" spans="1:22" ht="13.8" thickBot="1">
      <c r="A116" s="63" t="str">
        <f>+A107</f>
        <v>Saldo al 31-03-2017</v>
      </c>
      <c r="B116" s="66"/>
      <c r="C116" s="113"/>
      <c r="D116" s="66"/>
      <c r="E116" s="63"/>
      <c r="F116" s="63" t="str">
        <f>+F109</f>
        <v>Saldo al 31-03-2016</v>
      </c>
      <c r="G116" s="63"/>
      <c r="H116" s="63"/>
      <c r="I116" s="63"/>
      <c r="J116" s="63"/>
      <c r="K116" s="63"/>
      <c r="L116" s="66"/>
      <c r="M116" s="99">
        <f>SUM(M112:M115)</f>
        <v>0</v>
      </c>
    </row>
    <row r="117" spans="1:22" ht="13.8" thickTop="1">
      <c r="A117" s="63" t="s">
        <v>193</v>
      </c>
      <c r="B117" s="66"/>
      <c r="C117" s="66"/>
      <c r="D117" s="66"/>
      <c r="E117" s="63"/>
      <c r="F117" s="63"/>
      <c r="G117" s="63"/>
      <c r="H117" s="63"/>
      <c r="I117" s="63"/>
      <c r="J117" s="63"/>
      <c r="K117" s="63"/>
      <c r="L117" s="66"/>
      <c r="M117" s="66"/>
    </row>
    <row r="118" spans="1:22">
      <c r="A118" s="63" t="s">
        <v>194</v>
      </c>
      <c r="B118" s="66"/>
      <c r="C118" s="64"/>
      <c r="D118" s="66"/>
      <c r="E118" s="63"/>
      <c r="F118" s="63"/>
      <c r="G118" s="63"/>
      <c r="H118" s="109"/>
      <c r="I118" s="63"/>
      <c r="J118" s="63"/>
      <c r="K118" s="63"/>
      <c r="L118" s="66"/>
      <c r="M118" s="66">
        <f>+M116-M117</f>
        <v>0</v>
      </c>
    </row>
    <row r="119" spans="1:22">
      <c r="A119" s="63" t="s">
        <v>195</v>
      </c>
      <c r="B119" s="66"/>
      <c r="C119" s="66"/>
      <c r="D119" s="66"/>
      <c r="E119" s="63"/>
      <c r="F119" s="95" t="s">
        <v>31</v>
      </c>
      <c r="G119" s="63"/>
      <c r="H119" s="109"/>
      <c r="I119" s="63"/>
      <c r="J119" s="63"/>
      <c r="K119" s="63"/>
      <c r="L119" s="63"/>
      <c r="M119" s="63"/>
    </row>
    <row r="120" spans="1:22">
      <c r="A120" s="63" t="s">
        <v>169</v>
      </c>
      <c r="B120" s="66"/>
      <c r="C120" s="66"/>
      <c r="D120" s="66"/>
      <c r="E120" s="66"/>
      <c r="F120" s="63" t="s">
        <v>196</v>
      </c>
      <c r="G120" s="63"/>
      <c r="H120" s="109"/>
      <c r="I120" s="63"/>
      <c r="J120" s="63"/>
      <c r="K120" s="63"/>
      <c r="L120" s="63"/>
      <c r="M120" s="66"/>
    </row>
    <row r="121" spans="1:22">
      <c r="A121" s="63" t="s">
        <v>176</v>
      </c>
      <c r="B121" s="66"/>
      <c r="C121" s="66"/>
      <c r="D121" s="66"/>
      <c r="E121" s="66"/>
      <c r="F121" s="63" t="s">
        <v>161</v>
      </c>
      <c r="G121" s="63"/>
      <c r="H121" s="109"/>
      <c r="I121" s="63"/>
      <c r="J121" s="63"/>
      <c r="K121" s="63"/>
      <c r="L121" s="63"/>
      <c r="M121" s="66">
        <v>0</v>
      </c>
    </row>
    <row r="122" spans="1:22" ht="13.8" thickBot="1">
      <c r="A122" s="63" t="str">
        <f>+A111</f>
        <v>Saldo al 31-03-2016</v>
      </c>
      <c r="B122" s="99">
        <f>SUM(B116:B121)</f>
        <v>0</v>
      </c>
      <c r="C122" s="66"/>
      <c r="D122" s="99">
        <f>SUM(D116:D121)</f>
        <v>0</v>
      </c>
      <c r="E122" s="66" t="s">
        <v>117</v>
      </c>
      <c r="F122" s="63" t="s">
        <v>167</v>
      </c>
      <c r="G122" s="63"/>
      <c r="H122" s="63"/>
      <c r="I122" s="63"/>
      <c r="J122" s="63"/>
      <c r="K122" s="63"/>
      <c r="L122" s="63"/>
      <c r="M122" s="66">
        <v>0</v>
      </c>
    </row>
    <row r="123" spans="1:22" ht="13.8" thickTop="1">
      <c r="A123" s="63"/>
      <c r="B123" s="66"/>
      <c r="C123" s="66"/>
      <c r="D123" s="66"/>
      <c r="E123" s="66"/>
      <c r="F123" s="63" t="s">
        <v>197</v>
      </c>
      <c r="G123" s="63"/>
      <c r="H123" s="63"/>
      <c r="I123" s="63"/>
      <c r="J123" s="63"/>
      <c r="K123" s="63"/>
      <c r="L123" s="63"/>
      <c r="M123" s="66">
        <v>0</v>
      </c>
    </row>
    <row r="124" spans="1:22" ht="13.8" thickBot="1">
      <c r="A124" s="63"/>
      <c r="B124" s="63"/>
      <c r="C124" s="63"/>
      <c r="D124" s="66"/>
      <c r="E124" s="63"/>
      <c r="F124" s="63" t="s">
        <v>177</v>
      </c>
      <c r="G124" s="63"/>
      <c r="H124" s="63"/>
      <c r="I124" s="63"/>
      <c r="J124" s="63"/>
      <c r="K124" s="63"/>
      <c r="L124" s="63"/>
      <c r="M124" s="99">
        <f>SUM(M120:M123)</f>
        <v>0</v>
      </c>
      <c r="O124" s="43" t="s">
        <v>117</v>
      </c>
    </row>
    <row r="125" spans="1:22" ht="13.8" thickTop="1">
      <c r="A125" s="63"/>
      <c r="B125" s="63"/>
      <c r="C125" s="63"/>
      <c r="D125" s="66"/>
      <c r="E125" s="63"/>
      <c r="F125" s="66"/>
      <c r="G125" s="66"/>
      <c r="H125" s="63"/>
      <c r="I125" s="63"/>
      <c r="J125" s="63"/>
      <c r="K125" s="63"/>
      <c r="L125" s="63"/>
      <c r="M125" s="109"/>
    </row>
    <row r="126" spans="1:22">
      <c r="A126" s="63"/>
      <c r="B126" s="63"/>
      <c r="C126" s="63"/>
      <c r="D126" s="66"/>
      <c r="E126" s="63"/>
      <c r="F126" s="95" t="s">
        <v>198</v>
      </c>
      <c r="G126" s="66"/>
      <c r="H126" s="63"/>
      <c r="I126" s="63"/>
      <c r="J126" s="63"/>
      <c r="K126" s="63"/>
      <c r="L126" s="63"/>
      <c r="M126" s="63"/>
    </row>
    <row r="127" spans="1:22">
      <c r="A127" s="63"/>
      <c r="B127" s="63"/>
      <c r="C127" s="63"/>
      <c r="D127" s="66"/>
      <c r="E127" s="63"/>
      <c r="F127" s="63" t="str">
        <f>+F120</f>
        <v>Saldo al 31-03-2015</v>
      </c>
      <c r="G127" s="66"/>
      <c r="H127" s="63"/>
      <c r="I127" s="63"/>
      <c r="J127" s="63"/>
      <c r="K127" s="63"/>
      <c r="L127" s="63"/>
      <c r="M127" s="63"/>
    </row>
    <row r="128" spans="1:22">
      <c r="A128" s="63"/>
      <c r="B128" s="63"/>
      <c r="C128" s="63"/>
      <c r="D128" s="66"/>
      <c r="E128" s="63"/>
      <c r="F128" s="43" t="s">
        <v>199</v>
      </c>
    </row>
    <row r="129" spans="1:16">
      <c r="A129" s="63"/>
      <c r="B129" s="63"/>
      <c r="C129" s="63"/>
      <c r="D129" s="66"/>
      <c r="E129" s="63"/>
      <c r="F129" s="43" t="s">
        <v>200</v>
      </c>
      <c r="M129" s="43">
        <v>0</v>
      </c>
    </row>
    <row r="130" spans="1:16" ht="13.8" thickBot="1">
      <c r="A130" s="63"/>
      <c r="B130" s="63"/>
      <c r="C130" s="63"/>
      <c r="D130" s="66"/>
      <c r="E130" s="63"/>
      <c r="F130" s="43" t="str">
        <f>+F124</f>
        <v>Saldo al 31-03-2016</v>
      </c>
      <c r="M130" s="114">
        <f>SUM(M127:M129)</f>
        <v>0</v>
      </c>
      <c r="O130" s="43" t="s">
        <v>117</v>
      </c>
    </row>
    <row r="131" spans="1:16" ht="13.8" thickTop="1">
      <c r="A131" s="63"/>
      <c r="B131" s="63"/>
      <c r="C131" s="63"/>
      <c r="D131" s="66"/>
      <c r="E131" s="63"/>
    </row>
    <row r="132" spans="1:16">
      <c r="A132" s="63"/>
      <c r="B132" s="63"/>
      <c r="C132" s="63"/>
      <c r="D132" s="66"/>
      <c r="E132" s="63"/>
      <c r="F132" s="95" t="s">
        <v>147</v>
      </c>
    </row>
    <row r="133" spans="1:16">
      <c r="D133" s="85"/>
      <c r="E133" s="63"/>
      <c r="F133" s="63" t="str">
        <f>+F127</f>
        <v>Saldo al 31-03-2015</v>
      </c>
      <c r="M133" s="66"/>
    </row>
    <row r="134" spans="1:16">
      <c r="D134" s="85"/>
      <c r="F134" s="63" t="str">
        <f>+F128</f>
        <v>Reverso</v>
      </c>
      <c r="M134" s="66"/>
    </row>
    <row r="135" spans="1:16">
      <c r="D135" s="85"/>
      <c r="F135" s="43" t="s">
        <v>201</v>
      </c>
      <c r="M135" s="66"/>
      <c r="P135" s="93"/>
    </row>
    <row r="136" spans="1:16">
      <c r="D136" s="85"/>
      <c r="F136" s="43" t="s">
        <v>200</v>
      </c>
      <c r="M136" s="66"/>
      <c r="P136" s="93"/>
    </row>
    <row r="137" spans="1:16" ht="13.8" thickBot="1">
      <c r="D137" s="85"/>
      <c r="F137" s="43" t="str">
        <f>+F130</f>
        <v>Saldo al 31-03-2016</v>
      </c>
      <c r="M137" s="99">
        <f>SUM(M133:M136)</f>
        <v>0</v>
      </c>
      <c r="O137" s="43" t="s">
        <v>117</v>
      </c>
      <c r="P137" s="98"/>
    </row>
    <row r="138" spans="1:16" ht="13.8" thickTop="1">
      <c r="D138" s="85"/>
      <c r="M138" s="66"/>
    </row>
    <row r="139" spans="1:16">
      <c r="D139" s="85"/>
      <c r="M139" s="85">
        <f>+M137-M138</f>
        <v>0</v>
      </c>
    </row>
    <row r="140" spans="1:16">
      <c r="D140" s="85"/>
    </row>
    <row r="141" spans="1:16">
      <c r="D141" s="85"/>
    </row>
    <row r="142" spans="1:16">
      <c r="D142" s="85"/>
    </row>
    <row r="143" spans="1:16">
      <c r="D143" s="85"/>
    </row>
    <row r="144" spans="1:16">
      <c r="D144" s="85"/>
    </row>
    <row r="145" spans="4:4">
      <c r="D145" s="85"/>
    </row>
    <row r="146" spans="4:4">
      <c r="D146" s="85"/>
    </row>
    <row r="147" spans="4:4">
      <c r="D147" s="85"/>
    </row>
    <row r="148" spans="4:4">
      <c r="D148" s="85"/>
    </row>
    <row r="149" spans="4:4">
      <c r="D149" s="85"/>
    </row>
    <row r="150" spans="4:4">
      <c r="D150" s="85"/>
    </row>
    <row r="151" spans="4:4">
      <c r="D151" s="85"/>
    </row>
    <row r="152" spans="4:4">
      <c r="D152" s="85"/>
    </row>
    <row r="153" spans="4:4">
      <c r="D153" s="85"/>
    </row>
    <row r="154" spans="4:4">
      <c r="D154" s="85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ESF</vt:lpstr>
      <vt:lpstr>ResultadoIntegral</vt:lpstr>
      <vt:lpstr>PT FE</vt:lpstr>
      <vt:lpstr>ESF!Área_de_impresión</vt:lpstr>
      <vt:lpstr>ResultadoIntegral!Área_de_impresión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uzcategui</dc:creator>
  <cp:lastModifiedBy>Amelia Ibarra</cp:lastModifiedBy>
  <cp:lastPrinted>2018-07-27T15:15:22Z</cp:lastPrinted>
  <dcterms:created xsi:type="dcterms:W3CDTF">2002-05-15T19:52:03Z</dcterms:created>
  <dcterms:modified xsi:type="dcterms:W3CDTF">2018-07-30T20:25:39Z</dcterms:modified>
</cp:coreProperties>
</file>